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920" yWindow="-120" windowWidth="29040" windowHeight="15840"/>
  </bookViews>
  <sheets>
    <sheet name="Infographic" sheetId="6" r:id="rId1"/>
    <sheet name="OverDrive Statistics" sheetId="1" r:id="rId2"/>
    <sheet name="Simultaneous Use Circ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C6" i="1"/>
  <c r="D6" i="1"/>
  <c r="E6" i="1"/>
  <c r="F6" i="1"/>
  <c r="G6" i="1"/>
  <c r="H6" i="1"/>
  <c r="I6" i="1"/>
  <c r="J6" i="1"/>
  <c r="K6" i="1"/>
  <c r="L6" i="1"/>
  <c r="M6" i="1"/>
  <c r="C3" i="1"/>
  <c r="D3" i="1"/>
  <c r="E3" i="1"/>
  <c r="F3" i="1"/>
  <c r="G3" i="1"/>
  <c r="H3" i="1"/>
  <c r="I3" i="1"/>
  <c r="J3" i="1"/>
  <c r="K3" i="1"/>
  <c r="L3" i="1"/>
  <c r="M3" i="1"/>
  <c r="B10" i="1"/>
  <c r="B6" i="1"/>
  <c r="B3" i="1"/>
  <c r="L23" i="6" l="1"/>
  <c r="I23" i="6"/>
  <c r="E23" i="6"/>
  <c r="B23" i="6"/>
  <c r="I13" i="6"/>
  <c r="I12" i="6"/>
  <c r="B13" i="6"/>
  <c r="B12" i="6"/>
  <c r="P8" i="4"/>
  <c r="B57" i="1"/>
  <c r="M32" i="1"/>
  <c r="M28" i="1"/>
  <c r="M29" i="1"/>
  <c r="M33" i="1"/>
  <c r="O8" i="4" l="1"/>
  <c r="B56" i="1"/>
  <c r="L33" i="1"/>
  <c r="L29" i="1"/>
  <c r="L32" i="1"/>
  <c r="L28" i="1"/>
  <c r="K28" i="1" l="1"/>
  <c r="N8" i="4"/>
  <c r="B55" i="1"/>
  <c r="K32" i="1"/>
  <c r="K33" i="1"/>
  <c r="K29" i="1"/>
  <c r="M8" i="4" l="1"/>
  <c r="B54" i="1"/>
  <c r="J33" i="1"/>
  <c r="J29" i="1"/>
  <c r="J28" i="1"/>
  <c r="J32" i="1"/>
  <c r="B53" i="1" l="1"/>
  <c r="I32" i="1"/>
  <c r="I28" i="1"/>
  <c r="I33" i="1"/>
  <c r="I29" i="1"/>
  <c r="L8" i="4"/>
  <c r="K8" i="4" l="1"/>
  <c r="B52" i="1"/>
  <c r="H33" i="1"/>
  <c r="H29" i="1"/>
  <c r="H32" i="1"/>
  <c r="H28" i="1"/>
  <c r="J8" i="4" l="1"/>
  <c r="B51" i="1"/>
  <c r="G33" i="1"/>
  <c r="G29" i="1"/>
  <c r="G32" i="1"/>
  <c r="G28" i="1"/>
  <c r="I8" i="4" l="1"/>
  <c r="B50" i="1"/>
  <c r="F32" i="1"/>
  <c r="F28" i="1"/>
  <c r="F33" i="1"/>
  <c r="F29" i="1"/>
  <c r="H8" i="4" l="1"/>
  <c r="B49" i="1"/>
  <c r="E32" i="1"/>
  <c r="E28" i="1"/>
  <c r="E33" i="1"/>
  <c r="E29" i="1"/>
  <c r="G8" i="4" l="1"/>
  <c r="B48" i="1"/>
  <c r="D32" i="1"/>
  <c r="D28" i="1"/>
  <c r="D33" i="1"/>
  <c r="D29" i="1"/>
  <c r="F8" i="4" l="1"/>
  <c r="B47" i="1"/>
  <c r="C33" i="1"/>
  <c r="C29" i="1"/>
  <c r="C32" i="1"/>
  <c r="C28" i="1"/>
  <c r="N15" i="1"/>
  <c r="N16" i="1"/>
  <c r="N17" i="1"/>
  <c r="N18" i="1"/>
  <c r="N19" i="1"/>
  <c r="N14" i="1"/>
  <c r="N13" i="1"/>
  <c r="N12" i="1"/>
  <c r="N11" i="1"/>
  <c r="N9" i="1"/>
  <c r="N6" i="1" s="1"/>
  <c r="N8" i="1"/>
  <c r="N7" i="1"/>
  <c r="N5" i="1"/>
  <c r="N4" i="1"/>
  <c r="N3" i="1" s="1"/>
  <c r="N10" i="1" l="1"/>
  <c r="E8" i="4"/>
  <c r="Q7" i="4"/>
  <c r="Q6" i="4"/>
  <c r="Q3" i="4"/>
  <c r="Q8" i="4" l="1"/>
  <c r="B42" i="6" s="1"/>
  <c r="B46" i="1"/>
  <c r="B32" i="1"/>
  <c r="B28" i="1"/>
  <c r="B33" i="1"/>
  <c r="B29" i="1"/>
  <c r="I21" i="6" l="1"/>
  <c r="C35" i="1"/>
  <c r="B35" i="1"/>
  <c r="C31" i="1"/>
  <c r="B22" i="6"/>
  <c r="E35" i="1"/>
  <c r="F35" i="1"/>
  <c r="G35" i="1"/>
  <c r="H35" i="1"/>
  <c r="I35" i="1"/>
  <c r="J35" i="1"/>
  <c r="K35" i="1"/>
  <c r="L35" i="1"/>
  <c r="M35" i="1"/>
  <c r="D35" i="1"/>
  <c r="D31" i="1"/>
  <c r="E31" i="1"/>
  <c r="F31" i="1"/>
  <c r="G31" i="1"/>
  <c r="H31" i="1"/>
  <c r="I31" i="1"/>
  <c r="J31" i="1"/>
  <c r="K31" i="1"/>
  <c r="L31" i="1"/>
  <c r="B31" i="1"/>
  <c r="C27" i="1"/>
  <c r="D27" i="1"/>
  <c r="E27" i="1"/>
  <c r="F27" i="1"/>
  <c r="G27" i="1"/>
  <c r="H27" i="1"/>
  <c r="I27" i="1"/>
  <c r="J27" i="1"/>
  <c r="K27" i="1"/>
  <c r="L27" i="1"/>
  <c r="B27" i="1"/>
  <c r="M31" i="1"/>
  <c r="M27" i="1"/>
  <c r="B21" i="1" l="1"/>
  <c r="F21" i="1"/>
  <c r="C21" i="1"/>
  <c r="D21" i="1"/>
  <c r="M21" i="1"/>
  <c r="L21" i="1"/>
  <c r="K21" i="1"/>
  <c r="J21" i="1"/>
  <c r="I21" i="1"/>
  <c r="H21" i="1"/>
  <c r="G21" i="1"/>
  <c r="E21" i="1"/>
  <c r="I22" i="6"/>
  <c r="B21" i="6"/>
  <c r="N21" i="1" l="1"/>
  <c r="B8" i="6" s="1"/>
</calcChain>
</file>

<file path=xl/sharedStrings.xml><?xml version="1.0" encoding="utf-8"?>
<sst xmlns="http://schemas.openxmlformats.org/spreadsheetml/2006/main" count="140" uniqueCount="89">
  <si>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</si>
  <si>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</si>
  <si>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</si>
  <si>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</si>
  <si>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</si>
  <si>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</si>
  <si>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</si>
  <si>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</si>
  <si>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</si>
  <si>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</si>
  <si>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</si>
  <si>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</si>
  <si>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</si>
  <si>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</si>
  <si>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</si>
  <si>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</si>
  <si>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</si>
  <si>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</si>
  <si>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</si>
  <si>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</si>
  <si>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</si>
  <si>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Audiobook</t>
  </si>
  <si>
    <t>eBook</t>
  </si>
  <si>
    <t>Video</t>
  </si>
  <si>
    <t>Video Checked Out but Never Downloaded</t>
  </si>
  <si>
    <t>Total Video</t>
  </si>
  <si>
    <t>Streaming Video</t>
  </si>
  <si>
    <t>OverDrive Read</t>
  </si>
  <si>
    <t>OverDrive Listen</t>
  </si>
  <si>
    <t>MediaDo Reader</t>
  </si>
  <si>
    <t>Average Waiting Period (as of…)</t>
  </si>
  <si>
    <t>Holds by Format (as of…)</t>
  </si>
  <si>
    <t>Kobo eBook</t>
  </si>
  <si>
    <t>All Holds Since Purchase (as of…)</t>
  </si>
  <si>
    <t>WISCONSIN'S DIGITAL LIBRARY</t>
  </si>
  <si>
    <t>Audiobooks</t>
  </si>
  <si>
    <t>TOTAL TITLES</t>
  </si>
  <si>
    <t>TOTAL COPIES</t>
  </si>
  <si>
    <t>eBooks</t>
  </si>
  <si>
    <t>Circ through 2016</t>
  </si>
  <si>
    <t>eBooks Checked Out but Never Downloaded*</t>
  </si>
  <si>
    <t>Audiobooks Checked Out but Never Downloaded*</t>
  </si>
  <si>
    <t>counting each format of a title only once - exclude weeded titles, include preorders</t>
  </si>
  <si>
    <t>ADVANTAGE PLUS SHARED (copies)</t>
  </si>
  <si>
    <t>Collection</t>
  </si>
  <si>
    <t>Purchased</t>
  </si>
  <si>
    <t>Expires</t>
  </si>
  <si>
    <t>Order ID</t>
  </si>
  <si>
    <t>25 Tantor Media Titles</t>
  </si>
  <si>
    <t>25 Blackstone Titles</t>
  </si>
  <si>
    <t>50 Tantor Media Titles</t>
  </si>
  <si>
    <t>wils-MAX-20181114-132323-1279</t>
  </si>
  <si>
    <t>wils-MAX-20181207-090409-1279</t>
  </si>
  <si>
    <t>wils-MAX-20181207-084635-1279</t>
  </si>
  <si>
    <t>wils-MAX-20181227-160606-1279</t>
  </si>
  <si>
    <t>Current</t>
  </si>
  <si>
    <t>OverDrive</t>
  </si>
  <si>
    <t>Active Holds</t>
  </si>
  <si>
    <t>ebooks</t>
  </si>
  <si>
    <t>non-circulated</t>
  </si>
  <si>
    <t>not circulated</t>
  </si>
  <si>
    <t>circulated</t>
  </si>
  <si>
    <t>owned</t>
  </si>
  <si>
    <t>Titles Circulated by Month</t>
  </si>
  <si>
    <t xml:space="preserve">May </t>
  </si>
  <si>
    <t>Circulation Activity by Format by Month 2020 (includes circulation of titles and copies purchased outside of the Consortium by individual libraries and systems)</t>
  </si>
  <si>
    <t>2020 Total</t>
  </si>
  <si>
    <t>Purchased Titles and Copies through 2020 (includes Consortium titles and copies only)</t>
  </si>
  <si>
    <t>Inception through January 31, 2020</t>
  </si>
  <si>
    <t>Inception through March 31, 2020</t>
  </si>
  <si>
    <t>Inception through April 30, 2020</t>
  </si>
  <si>
    <t>Inception through May 31, 2020</t>
  </si>
  <si>
    <t>Inception through June 30, 2020</t>
  </si>
  <si>
    <t>Inception through July 31, 2020</t>
  </si>
  <si>
    <t>Inception through August 31, 2020</t>
  </si>
  <si>
    <t>Inception through September 30, 2020</t>
  </si>
  <si>
    <t>Inception through October 31, 2020</t>
  </si>
  <si>
    <t>Inception through November 30, 2020</t>
  </si>
  <si>
    <t>Inception through December 31, 2020</t>
  </si>
  <si>
    <t>Patrons with Checkouts 2020 (avg/day)</t>
  </si>
  <si>
    <t>2020 Simultaneous Use Circulation</t>
  </si>
  <si>
    <t>BiblioBoard + Indie Author Project</t>
  </si>
  <si>
    <t>Simultaneous Use</t>
  </si>
  <si>
    <t>TOTOLS</t>
  </si>
  <si>
    <t>TOTALS</t>
  </si>
  <si>
    <t>Checkouts YTD</t>
  </si>
  <si>
    <t>Inception through February 29, 2020</t>
  </si>
  <si>
    <t>December 2020 Year to Date Statistics</t>
  </si>
  <si>
    <t>Checkouts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</si>
</sst>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26"/>
      <color theme="1"/>
      <name val="Georgia"/>
      <family val="1"/>
    </font>
    <font>
      <sz val="36"/>
      <color theme="1"/>
      <name val="Georgia"/>
      <family val="1"/>
    </font>
    <font>
      <b/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Georgia"/>
      <family val="1"/>
    </font>
    <font>
      <u/>
      <sz val="18"/>
      <color theme="1"/>
      <name val="Archer Light"/>
      <family val="3"/>
    </font>
    <font>
      <sz val="16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3">
    <xf numFmtId="0" fontId="0" fillId="0" borderId="0" xfId="0"/>
    <xf numFmtId="0" fontId="1" fillId="0" borderId="4" xfId="0" applyFont="1" applyBorder="1"/>
    <xf numFmtId="0" fontId="1" fillId="0" borderId="0" xfId="0" applyFont="1"/>
    <xf numFmtId="3" fontId="1" fillId="0" borderId="0" xfId="0" applyNumberFormat="1" applyFont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3" fontId="0" fillId="2" borderId="5" xfId="0" applyNumberFormat="1" applyFill="1" applyBorder="1"/>
    <xf numFmtId="0" fontId="0" fillId="0" borderId="3" xfId="0" applyBorder="1"/>
    <xf numFmtId="3" fontId="0" fillId="0" borderId="0" xfId="0" applyNumberFormat="1"/>
    <xf numFmtId="0" fontId="1" fillId="0" borderId="4" xfId="0" applyFont="1" applyBorder="1" applyAlignment="1">
      <alignment horizontal="left"/>
    </xf>
    <xf numFmtId="0" fontId="0" fillId="2" borderId="0" xfId="0" applyFill="1"/>
    <xf numFmtId="3" fontId="0" fillId="0" borderId="5" xfId="0" applyNumberFormat="1" applyBorder="1"/>
    <xf numFmtId="3" fontId="1" fillId="0" borderId="8" xfId="0" applyNumberFormat="1" applyFont="1" applyBorder="1"/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14" fontId="1" fillId="0" borderId="2" xfId="0" applyNumberFormat="1" applyFont="1" applyBorder="1"/>
    <xf numFmtId="14" fontId="1" fillId="0" borderId="3" xfId="0" applyNumberFormat="1" applyFont="1" applyBorder="1"/>
    <xf numFmtId="1" fontId="0" fillId="0" borderId="5" xfId="0" applyNumberFormat="1" applyBorder="1"/>
    <xf numFmtId="0" fontId="1" fillId="0" borderId="2" xfId="0" applyFont="1" applyBorder="1"/>
    <xf numFmtId="14" fontId="0" fillId="0" borderId="0" xfId="0" applyNumberFormat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0" xfId="0" applyNumberFormat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vertical="center"/>
    </xf>
    <xf numFmtId="0" fontId="9" fillId="3" borderId="0" xfId="0" applyFont="1" applyFill="1"/>
    <xf numFmtId="164" fontId="7" fillId="3" borderId="0" xfId="1" applyNumberFormat="1" applyFont="1" applyFill="1" applyAlignment="1">
      <alignment vertical="top"/>
    </xf>
    <xf numFmtId="14" fontId="1" fillId="0" borderId="4" xfId="0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" fillId="2" borderId="0" xfId="0" applyFont="1" applyFill="1"/>
    <xf numFmtId="0" fontId="1" fillId="2" borderId="7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2" fillId="0" borderId="3" xfId="0" applyFon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0" xfId="0" applyNumberFormat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4" borderId="4" xfId="0" applyFill="1" applyBorder="1"/>
    <xf numFmtId="3" fontId="5" fillId="4" borderId="0" xfId="0" applyNumberFormat="1" applyFont="1" applyFill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0" fontId="0" fillId="4" borderId="5" xfId="0" applyFill="1" applyBorder="1"/>
    <xf numFmtId="0" fontId="13" fillId="4" borderId="4" xfId="0" applyFont="1" applyFill="1" applyBorder="1"/>
    <xf numFmtId="0" fontId="13" fillId="4" borderId="0" xfId="0" applyFont="1" applyFill="1"/>
    <xf numFmtId="0" fontId="6" fillId="3" borderId="0" xfId="0" applyFont="1" applyFill="1"/>
    <xf numFmtId="3" fontId="6" fillId="4" borderId="4" xfId="0" applyNumberFormat="1" applyFont="1" applyFill="1" applyBorder="1"/>
    <xf numFmtId="3" fontId="6" fillId="4" borderId="0" xfId="0" applyNumberFormat="1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4" borderId="5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0" fillId="5" borderId="4" xfId="0" applyFill="1" applyBorder="1"/>
    <xf numFmtId="0" fontId="0" fillId="5" borderId="0" xfId="0" applyFill="1"/>
    <xf numFmtId="164" fontId="7" fillId="5" borderId="0" xfId="1" applyNumberFormat="1" applyFont="1" applyFill="1" applyAlignment="1">
      <alignment vertical="top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164" fontId="7" fillId="5" borderId="7" xfId="1" applyNumberFormat="1" applyFont="1" applyFill="1" applyBorder="1" applyAlignment="1">
      <alignment vertical="top"/>
    </xf>
    <xf numFmtId="0" fontId="0" fillId="5" borderId="8" xfId="0" applyFill="1" applyBorder="1"/>
    <xf numFmtId="0" fontId="12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4" borderId="0" xfId="0" applyFont="1" applyFill="1" applyAlignment="1">
      <alignment horizontal="left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3" fontId="6" fillId="5" borderId="22" xfId="0" applyNumberFormat="1" applyFont="1" applyFill="1" applyBorder="1" applyAlignment="1">
      <alignment horizontal="right" vertical="center"/>
    </xf>
    <xf numFmtId="3" fontId="6" fillId="5" borderId="23" xfId="0" applyNumberFormat="1" applyFont="1" applyFill="1" applyBorder="1" applyAlignment="1">
      <alignment horizontal="right" vertical="center"/>
    </xf>
    <xf numFmtId="164" fontId="6" fillId="5" borderId="23" xfId="1" applyNumberFormat="1" applyFont="1" applyFill="1" applyBorder="1" applyAlignment="1">
      <alignment horizontal="left" vertical="center"/>
    </xf>
    <xf numFmtId="164" fontId="6" fillId="5" borderId="24" xfId="1" applyNumberFormat="1" applyFont="1" applyFill="1" applyBorder="1" applyAlignment="1">
      <alignment horizontal="left" vertical="center"/>
    </xf>
    <xf numFmtId="3" fontId="6" fillId="4" borderId="4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3" fontId="6" fillId="4" borderId="0" xfId="0" applyNumberFormat="1" applyFont="1" applyFill="1" applyAlignment="1">
      <alignment horizontal="right"/>
    </xf>
    <xf numFmtId="0" fontId="6" fillId="4" borderId="5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" fontId="1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3B393"/>
      <color rgb="FF6C7755"/>
      <color rgb="FFFFF8E5"/>
      <color rgb="FFEBB99D"/>
      <color rgb="FF9DA78A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Infographic!$B$20</c:f>
              <c:strCache>
                <c:ptCount val="1"/>
                <c:pt idx="0">
                  <c:v>ebooks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D-456A-9C70-DE7959DAF40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AD-456A-9C70-DE7959DAF40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AD-456A-9C70-DE7959DAF40D}"/>
              </c:ext>
            </c:extLst>
          </c:dPt>
          <c:cat>
            <c:strRef>
              <c:f>Infographic!$C$21:$C$23</c:f>
              <c:strCache>
                <c:ptCount val="3"/>
                <c:pt idx="0">
                  <c:v>non-circulated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Infographic!$B$21:$B$23</c:f>
              <c:numCache>
                <c:formatCode>General</c:formatCode>
                <c:ptCount val="3"/>
                <c:pt idx="0">
                  <c:v>15014</c:v>
                </c:pt>
                <c:pt idx="1">
                  <c:v>0</c:v>
                </c:pt>
                <c:pt idx="2" formatCode="#,##0">
                  <c:v>53014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D-456A-9C70-DE7959DAF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Infographic!$I$20</c:f>
              <c:strCache>
                <c:ptCount val="1"/>
                <c:pt idx="0">
                  <c:v>Audiobooks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88-4C40-AE93-166C17B9FA6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88-4C40-AE93-166C17B9FA6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88-4C40-AE93-166C17B9FA65}"/>
              </c:ext>
            </c:extLst>
          </c:dPt>
          <c:cat>
            <c:strRef>
              <c:f>Infographic!$J$21:$K$23</c:f>
              <c:strCache>
                <c:ptCount val="3"/>
                <c:pt idx="0">
                  <c:v>not 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Infographic!$I$21:$I$23</c:f>
              <c:numCache>
                <c:formatCode>General</c:formatCode>
                <c:ptCount val="3"/>
                <c:pt idx="0">
                  <c:v>508</c:v>
                </c:pt>
                <c:pt idx="1">
                  <c:v>0</c:v>
                </c:pt>
                <c:pt idx="2" formatCode="#,##0">
                  <c:v>26541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88-4C40-AE93-166C17B9F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'OverDrive Statistics'!$A$68:$A$79</c:f>
              <c:numCache>
                <c:formatCode>m/d/yyyy</c:formatCode>
                <c:ptCount val="12"/>
                <c:pt idx="0">
                  <c:v>43864</c:v>
                </c:pt>
                <c:pt idx="1">
                  <c:v>43893</c:v>
                </c:pt>
                <c:pt idx="2">
                  <c:v>43923</c:v>
                </c:pt>
                <c:pt idx="3">
                  <c:v>43952</c:v>
                </c:pt>
                <c:pt idx="4">
                  <c:v>43983</c:v>
                </c:pt>
                <c:pt idx="5">
                  <c:v>44015</c:v>
                </c:pt>
                <c:pt idx="6">
                  <c:v>44048</c:v>
                </c:pt>
                <c:pt idx="7">
                  <c:v>44076</c:v>
                </c:pt>
                <c:pt idx="8">
                  <c:v>44105</c:v>
                </c:pt>
                <c:pt idx="9">
                  <c:v>44137</c:v>
                </c:pt>
                <c:pt idx="10">
                  <c:v>44166</c:v>
                </c:pt>
                <c:pt idx="11">
                  <c:v>43834</c:v>
                </c:pt>
              </c:numCache>
            </c:numRef>
          </c:cat>
          <c:val>
            <c:numRef>
              <c:f>'OverDrive Statistics'!$B$68:$B$79</c:f>
              <c:numCache>
                <c:formatCode>General</c:formatCode>
                <c:ptCount val="12"/>
                <c:pt idx="0">
                  <c:v>40.229999999999997</c:v>
                </c:pt>
                <c:pt idx="1">
                  <c:v>41.37</c:v>
                </c:pt>
                <c:pt idx="2">
                  <c:v>37.44</c:v>
                </c:pt>
                <c:pt idx="3">
                  <c:v>33.1</c:v>
                </c:pt>
                <c:pt idx="4">
                  <c:v>34.83</c:v>
                </c:pt>
                <c:pt idx="5">
                  <c:v>35.9</c:v>
                </c:pt>
                <c:pt idx="6">
                  <c:v>36.24</c:v>
                </c:pt>
                <c:pt idx="7">
                  <c:v>37.61</c:v>
                </c:pt>
                <c:pt idx="8">
                  <c:v>37.880000000000003</c:v>
                </c:pt>
                <c:pt idx="9">
                  <c:v>38.21</c:v>
                </c:pt>
                <c:pt idx="10">
                  <c:v>36.950000000000003</c:v>
                </c:pt>
                <c:pt idx="11">
                  <c:v>35.19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5-4247-9814-49EF49A6E5D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Patrons with Checkouts (per day)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77443654809965E-2"/>
          <c:y val="0.35156563243400796"/>
          <c:w val="0.91475418820907251"/>
          <c:h val="0.356305996364609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'OverDrive Statistics'!$A$46:$A$57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Statistics'!$B$46:$B$57</c:f>
              <c:numCache>
                <c:formatCode>0</c:formatCode>
                <c:ptCount val="12"/>
                <c:pt idx="0">
                  <c:v>3103.1290322580644</c:v>
                </c:pt>
                <c:pt idx="1">
                  <c:v>3254.2068965517242</c:v>
                </c:pt>
                <c:pt idx="2">
                  <c:v>3269.0645161290322</c:v>
                </c:pt>
                <c:pt idx="3">
                  <c:v>3614.9333333333334</c:v>
                </c:pt>
                <c:pt idx="4">
                  <c:v>3399.2258064516127</c:v>
                </c:pt>
                <c:pt idx="5">
                  <c:v>3503.6333333333332</c:v>
                </c:pt>
                <c:pt idx="6">
                  <c:v>3390.483870967742</c:v>
                </c:pt>
                <c:pt idx="7">
                  <c:v>3415.1290322580644</c:v>
                </c:pt>
                <c:pt idx="8">
                  <c:v>3425.7333333333331</c:v>
                </c:pt>
                <c:pt idx="9">
                  <c:v>3301.516129032258</c:v>
                </c:pt>
                <c:pt idx="10">
                  <c:v>3415.1333333333332</c:v>
                </c:pt>
                <c:pt idx="11">
                  <c:v>3299.2258064516127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C0-4DA1-9A5C-259390801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  <a:latin typeface="Georgia" panose="02040502050405020303" pitchFamily="18" charset="0"/>
              </a:rPr>
              <a:t>Total Simultaneous</a:t>
            </a:r>
            <a:r>
              <a:rPr lang="en-US" baseline="0">
                <a:solidFill>
                  <a:sysClr val="windowText" lastClr="000000"/>
                </a:solidFill>
                <a:latin typeface="Georgia" panose="02040502050405020303" pitchFamily="18" charset="0"/>
              </a:rPr>
              <a:t> Use by </a:t>
            </a:r>
            <a:r>
              <a:rPr lang="en-US">
                <a:solidFill>
                  <a:sysClr val="windowText" lastClr="000000"/>
                </a:solidFill>
                <a:latin typeface="Georgia" panose="02040502050405020303" pitchFamily="18" charset="0"/>
              </a:rPr>
              <a:t>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'Simultaneous Use Circ'!$E$2:$P$2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'Simultaneous Use Circ'!$E$8:$P$8</c:f>
              <c:numCache>
                <c:formatCode>#,##0</c:formatCode>
                <c:ptCount val="12"/>
                <c:pt idx="0">
                  <c:v>47694</c:v>
                </c:pt>
                <c:pt idx="1">
                  <c:v>35545</c:v>
                </c:pt>
                <c:pt idx="2">
                  <c:v>32059</c:v>
                </c:pt>
                <c:pt idx="3">
                  <c:v>27487</c:v>
                </c:pt>
                <c:pt idx="4">
                  <c:v>23421</c:v>
                </c:pt>
                <c:pt idx="5">
                  <c:v>37518</c:v>
                </c:pt>
                <c:pt idx="6">
                  <c:v>32847</c:v>
                </c:pt>
                <c:pt idx="7">
                  <c:v>29249</c:v>
                </c:pt>
                <c:pt idx="8">
                  <c:v>36967</c:v>
                </c:pt>
                <c:pt idx="9">
                  <c:v>37072</c:v>
                </c:pt>
                <c:pt idx="10">
                  <c:v>34341</c:v>
                </c:pt>
                <c:pt idx="11">
                  <c:v>33478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5-41DD-94E9-28004B949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204728"/>
        <c:axId val="789212272"/>
      </c:lineChart>
      <c:catAx>
        <c:axId val="78920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12272"/>
        <c:crosses val="autoZero"/>
        <c:auto val="1"/>
        <c:lblAlgn val="ctr"/>
        <c:lblOffset val="100"/>
        <c:noMultiLvlLbl val="0"/>
      </c:catAx>
      <c:valAx>
        <c:axId val="7892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0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by Month (avg/day)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Statistics'!$B$46:$B$57</c:f>
              <c:strCache>
                <c:ptCount val="12"/>
                <c:pt idx="0">
                  <c:v>3103</c:v>
                </c:pt>
                <c:pt idx="1">
                  <c:v>3254</c:v>
                </c:pt>
                <c:pt idx="2">
                  <c:v>3269</c:v>
                </c:pt>
                <c:pt idx="3">
                  <c:v>3615</c:v>
                </c:pt>
                <c:pt idx="4">
                  <c:v>3399</c:v>
                </c:pt>
                <c:pt idx="5">
                  <c:v>3504</c:v>
                </c:pt>
                <c:pt idx="6">
                  <c:v>3390</c:v>
                </c:pt>
                <c:pt idx="7">
                  <c:v>3415</c:v>
                </c:pt>
                <c:pt idx="8">
                  <c:v>3426</c:v>
                </c:pt>
                <c:pt idx="9">
                  <c:v>3302</c:v>
                </c:pt>
                <c:pt idx="10">
                  <c:v>3415</c:v>
                </c:pt>
                <c:pt idx="11">
                  <c:v>3299</c:v>
                </c:pt>
              </c:strCache>
            </c:strRef>
          </c:tx>
          <c:invertIfNegative val="0"/>
          <c:cat>
            <c:strRef>
              <c:f>'OverDrive Statistics'!$A$46:$A$57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Statistics'!$B$46:$B$57</c:f>
              <c:numCache>
                <c:formatCode>0</c:formatCode>
                <c:ptCount val="12"/>
                <c:pt idx="0">
                  <c:v>3103.1290322580644</c:v>
                </c:pt>
                <c:pt idx="1">
                  <c:v>3254.2068965517242</c:v>
                </c:pt>
                <c:pt idx="2">
                  <c:v>3269.0645161290322</c:v>
                </c:pt>
                <c:pt idx="3">
                  <c:v>3614.9333333333334</c:v>
                </c:pt>
                <c:pt idx="4">
                  <c:v>3399.2258064516127</c:v>
                </c:pt>
                <c:pt idx="5">
                  <c:v>3503.6333333333332</c:v>
                </c:pt>
                <c:pt idx="6">
                  <c:v>3390.483870967742</c:v>
                </c:pt>
                <c:pt idx="7">
                  <c:v>3415.1290322580644</c:v>
                </c:pt>
                <c:pt idx="8">
                  <c:v>3425.7333333333331</c:v>
                </c:pt>
                <c:pt idx="9">
                  <c:v>3301.516129032258</c:v>
                </c:pt>
                <c:pt idx="10">
                  <c:v>3415.1333333333332</c:v>
                </c:pt>
                <c:pt idx="11">
                  <c:v>3299.2258064516127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0496"/>
        <c:axId val="402768144"/>
      </c:barChart>
      <c:catAx>
        <c:axId val="4027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2768144"/>
        <c:crosses val="autoZero"/>
        <c:auto val="1"/>
        <c:lblAlgn val="ctr"/>
        <c:lblOffset val="100"/>
        <c:noMultiLvlLbl val="0"/>
      </c:catAx>
      <c:valAx>
        <c:axId val="402768144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027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Statistics'!$B$67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'OverDrive Statistics'!$A$68:$A$79</c:f>
              <c:numCache>
                <c:formatCode>m/d/yyyy</c:formatCode>
                <c:ptCount val="12"/>
                <c:pt idx="0">
                  <c:v>43864</c:v>
                </c:pt>
                <c:pt idx="1">
                  <c:v>43893</c:v>
                </c:pt>
                <c:pt idx="2">
                  <c:v>43923</c:v>
                </c:pt>
                <c:pt idx="3">
                  <c:v>43952</c:v>
                </c:pt>
                <c:pt idx="4">
                  <c:v>43983</c:v>
                </c:pt>
                <c:pt idx="5">
                  <c:v>44015</c:v>
                </c:pt>
                <c:pt idx="6">
                  <c:v>44048</c:v>
                </c:pt>
                <c:pt idx="7">
                  <c:v>44076</c:v>
                </c:pt>
                <c:pt idx="8">
                  <c:v>44105</c:v>
                </c:pt>
                <c:pt idx="9">
                  <c:v>44137</c:v>
                </c:pt>
                <c:pt idx="10">
                  <c:v>44166</c:v>
                </c:pt>
                <c:pt idx="11">
                  <c:v>43834</c:v>
                </c:pt>
              </c:numCache>
            </c:numRef>
          </c:cat>
          <c:val>
            <c:numRef>
              <c:f>'OverDrive Statistics'!$B$68:$B$79</c:f>
              <c:numCache>
                <c:formatCode>General</c:formatCode>
                <c:ptCount val="12"/>
                <c:pt idx="0">
                  <c:v>40.229999999999997</c:v>
                </c:pt>
                <c:pt idx="1">
                  <c:v>41.37</c:v>
                </c:pt>
                <c:pt idx="2">
                  <c:v>37.44</c:v>
                </c:pt>
                <c:pt idx="3">
                  <c:v>33.1</c:v>
                </c:pt>
                <c:pt idx="4">
                  <c:v>34.83</c:v>
                </c:pt>
                <c:pt idx="5">
                  <c:v>35.9</c:v>
                </c:pt>
                <c:pt idx="6">
                  <c:v>36.24</c:v>
                </c:pt>
                <c:pt idx="7">
                  <c:v>37.61</c:v>
                </c:pt>
                <c:pt idx="8">
                  <c:v>37.880000000000003</c:v>
                </c:pt>
                <c:pt idx="9">
                  <c:v>38.21</c:v>
                </c:pt>
                <c:pt idx="10">
                  <c:v>36.950000000000003</c:v>
                </c:pt>
                <c:pt idx="11">
                  <c:v>35.19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5792"/>
        <c:axId val="402767360"/>
      </c:bar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17781</xdr:colOff>
      <xdr:row>13</xdr:row>
      <xdr:rowOff>17780</xdr:rowOff>
    </xdr:from>
    <xdr:to>
      <xdr:col>6</xdr:col>
      <xdr:colOff>512194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D161C8-659E-4258-8C22-096627DB7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7524</xdr:colOff>
      <xdr:row>13</xdr:row>
      <xdr:rowOff>12065</xdr:rowOff>
    </xdr:from>
    <xdr:to>
      <xdr:col>13</xdr:col>
      <xdr:colOff>521874</xdr:colOff>
      <xdr:row>20</xdr:row>
      <xdr:rowOff>168910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9E98A5-6418-4BB8-BBFC-C6301A42B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54610</xdr:colOff>
      <xdr:row>23</xdr:row>
      <xdr:rowOff>38101</xdr:rowOff>
    </xdr:from>
    <xdr:to>
      <xdr:col>13</xdr:col>
      <xdr:colOff>473710</xdr:colOff>
      <xdr:row>31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29A2D7-CFE1-4F81-A16E-0F39EF065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60960</xdr:colOff>
      <xdr:row>31</xdr:row>
      <xdr:rowOff>12700</xdr:rowOff>
    </xdr:from>
    <xdr:to>
      <xdr:col>13</xdr:col>
      <xdr:colOff>482600</xdr:colOff>
      <xdr:row>38</xdr:row>
      <xdr:rowOff>149859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B0CBCB-6CAA-46A2-86B3-C19A4603F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42</xdr:row>
      <xdr:rowOff>20320</xdr:rowOff>
    </xdr:from>
    <xdr:to>
      <xdr:col>13</xdr:col>
      <xdr:colOff>495300</xdr:colOff>
      <xdr:row>48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56DB4C1-F620-448F-8435-329A30DF9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43</xdr:row>
      <xdr:rowOff>33338</xdr:rowOff>
    </xdr:from>
    <xdr:to>
      <xdr:col>8</xdr:col>
      <xdr:colOff>212725</xdr:colOff>
      <xdr:row>59</xdr:row>
      <xdr:rowOff>7937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403868</xdr:colOff>
      <xdr:row>65</xdr:row>
      <xdr:rowOff>110807</xdr:rowOff>
    </xdr:from>
    <xdr:to>
      <xdr:col>8</xdr:col>
      <xdr:colOff>373388</xdr:colOff>
      <xdr:row>81</xdr:row>
      <xdr:rowOff>44132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="130" zoomScaleNormal="50" zoomScaleSheetLayoutView="130" workbookViewId="0"/>
  </sheetViews>
  <sheetFormatPr defaultRowHeight="13.9" customHeight="1"/>
  <cols>
    <col min="1" max="1" width="1.7109375" style="52" customWidth="1"/>
    <col min="2" max="2" width="9" customWidth="1"/>
    <col min="3" max="7" width="7.7109375" customWidth="1"/>
    <col min="8" max="8" width="1.7109375" customWidth="1"/>
    <col min="9" max="9" width="8.5703125" customWidth="1"/>
    <col min="10" max="14" width="7.7109375" customWidth="1"/>
    <col min="15" max="15" width="1.7109375" style="52" customWidth="1"/>
  </cols>
  <sheetData>
    <row r="1" spans="1:15" ht="13.9" customHeight="1">
      <c r="B1" s="109" t="s">
        <v>34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58"/>
    </row>
    <row r="2" spans="1:15" ht="13.9" customHeight="1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58"/>
    </row>
    <row r="3" spans="1:15" ht="13.9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/>
      <c r="O3" s="58"/>
    </row>
    <row r="4" spans="1:15" ht="13.9" customHeight="1">
      <c r="B4" s="115" t="s">
        <v>87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58"/>
    </row>
    <row r="5" spans="1:15" ht="13.9" customHeight="1"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58"/>
    </row>
    <row r="6" spans="1:15" ht="13.15" customHeight="1">
      <c r="A6" s="59"/>
      <c r="B6" s="121" t="s">
        <v>56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58"/>
    </row>
    <row r="7" spans="1:15" ht="9" customHeight="1" thickBot="1">
      <c r="A7" s="59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58"/>
    </row>
    <row r="8" spans="1:15" ht="10.5" customHeight="1">
      <c r="B8" s="127" t="str">
        <f>TEXT('OverDrive Statistics'!N21,"#,##0") &amp;" Checkouts this Year"</f>
        <v>6,999,764 Checkouts this Year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  <c r="O8" s="58"/>
    </row>
    <row r="9" spans="1:15" ht="10.15" customHeight="1"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  <c r="O9" s="58"/>
    </row>
    <row r="10" spans="1:15" ht="13.9" customHeight="1">
      <c r="A10" s="59"/>
      <c r="B10" s="130" t="s">
        <v>38</v>
      </c>
      <c r="C10" s="131"/>
      <c r="D10" s="131"/>
      <c r="E10" s="131"/>
      <c r="F10" s="131"/>
      <c r="G10" s="131"/>
      <c r="H10" s="36"/>
      <c r="I10" s="133" t="s">
        <v>35</v>
      </c>
      <c r="J10" s="131"/>
      <c r="K10" s="131"/>
      <c r="L10" s="131"/>
      <c r="M10" s="131"/>
      <c r="N10" s="134"/>
      <c r="O10" s="58"/>
    </row>
    <row r="11" spans="1:15" ht="13.9" customHeight="1">
      <c r="A11" s="59"/>
      <c r="B11" s="132"/>
      <c r="C11" s="131"/>
      <c r="D11" s="131"/>
      <c r="E11" s="131"/>
      <c r="F11" s="131"/>
      <c r="G11" s="131"/>
      <c r="H11" s="36"/>
      <c r="I11" s="131"/>
      <c r="J11" s="131"/>
      <c r="K11" s="131"/>
      <c r="L11" s="131"/>
      <c r="M11" s="131"/>
      <c r="N11" s="134"/>
      <c r="O11" s="58"/>
    </row>
    <row r="12" spans="1:15" ht="13.9" customHeight="1">
      <c r="A12" s="59"/>
      <c r="B12" s="105">
        <f>'OverDrive Statistics'!M10</f>
        <v>335142</v>
      </c>
      <c r="C12" s="106"/>
      <c r="D12" s="106"/>
      <c r="E12" s="94" t="s">
        <v>88</v>
      </c>
      <c r="F12" s="94"/>
      <c r="G12" s="94"/>
      <c r="H12" s="36"/>
      <c r="I12" s="107">
        <f>'OverDrive Statistics'!M6</f>
        <v>244994</v>
      </c>
      <c r="J12" s="106"/>
      <c r="K12" s="106"/>
      <c r="L12" s="94" t="s">
        <v>88</v>
      </c>
      <c r="M12" s="94"/>
      <c r="N12" s="108"/>
      <c r="O12" s="58"/>
    </row>
    <row r="13" spans="1:15" ht="13.9" customHeight="1">
      <c r="A13" s="59"/>
      <c r="B13" s="105">
        <f>'OverDrive Statistics'!M63</f>
        <v>234374</v>
      </c>
      <c r="C13" s="106"/>
      <c r="D13" s="106"/>
      <c r="E13" s="94" t="s">
        <v>57</v>
      </c>
      <c r="F13" s="94"/>
      <c r="G13" s="94"/>
      <c r="H13" s="36"/>
      <c r="I13" s="107">
        <f>'OverDrive Statistics'!M62</f>
        <v>134165</v>
      </c>
      <c r="J13" s="106"/>
      <c r="K13" s="106"/>
      <c r="L13" s="94" t="s">
        <v>57</v>
      </c>
      <c r="M13" s="94"/>
      <c r="N13" s="108"/>
      <c r="O13" s="58"/>
    </row>
    <row r="14" spans="1:15" ht="13.9" customHeight="1">
      <c r="A14" s="59"/>
      <c r="B14" s="60"/>
      <c r="C14" s="37"/>
      <c r="D14" s="37"/>
      <c r="E14" s="37"/>
      <c r="F14" s="37"/>
      <c r="G14" s="37"/>
      <c r="H14" s="36"/>
      <c r="I14" s="37"/>
      <c r="J14" s="61"/>
      <c r="K14" s="61"/>
      <c r="L14" s="61"/>
      <c r="M14" s="61"/>
      <c r="N14" s="62"/>
      <c r="O14" s="58"/>
    </row>
    <row r="15" spans="1:15" ht="13.9" customHeight="1">
      <c r="A15" s="59"/>
      <c r="B15" s="60"/>
      <c r="C15" s="37"/>
      <c r="D15" s="37"/>
      <c r="E15" s="37"/>
      <c r="F15" s="37"/>
      <c r="G15" s="37"/>
      <c r="H15" s="36"/>
      <c r="I15" s="37"/>
      <c r="J15" s="61"/>
      <c r="K15" s="61"/>
      <c r="L15" s="61"/>
      <c r="M15" s="61"/>
      <c r="N15" s="62"/>
      <c r="O15" s="58"/>
    </row>
    <row r="16" spans="1:15" ht="13.9" customHeight="1">
      <c r="A16" s="59"/>
      <c r="B16" s="60"/>
      <c r="C16" s="37"/>
      <c r="D16" s="37"/>
      <c r="E16" s="37"/>
      <c r="F16" s="37"/>
      <c r="G16" s="37"/>
      <c r="H16" s="36"/>
      <c r="I16" s="37"/>
      <c r="J16" s="37"/>
      <c r="K16" s="37"/>
      <c r="L16" s="37"/>
      <c r="M16" s="37"/>
      <c r="N16" s="63"/>
      <c r="O16" s="58"/>
    </row>
    <row r="17" spans="1:15" s="52" customFormat="1" ht="13.9" customHeight="1">
      <c r="A17" s="59"/>
      <c r="B17" s="60"/>
      <c r="C17" s="37"/>
      <c r="D17" s="37"/>
      <c r="E17" s="37"/>
      <c r="F17" s="37"/>
      <c r="G17" s="37"/>
      <c r="H17" s="36"/>
      <c r="I17" s="37"/>
      <c r="J17" s="37"/>
      <c r="K17" s="37"/>
      <c r="L17" s="37"/>
      <c r="M17" s="37"/>
      <c r="N17" s="63"/>
      <c r="O17" s="58"/>
    </row>
    <row r="18" spans="1:15" s="52" customFormat="1" ht="13.9" customHeight="1">
      <c r="A18" s="59"/>
      <c r="B18" s="60"/>
      <c r="C18" s="37"/>
      <c r="D18" s="37"/>
      <c r="E18" s="37"/>
      <c r="F18" s="37"/>
      <c r="G18" s="37"/>
      <c r="H18" s="36"/>
      <c r="I18" s="37"/>
      <c r="J18" s="37"/>
      <c r="K18" s="37"/>
      <c r="L18" s="37"/>
      <c r="M18" s="37"/>
      <c r="N18" s="63"/>
      <c r="O18" s="58"/>
    </row>
    <row r="19" spans="1:15" s="52" customFormat="1" ht="13.9" customHeight="1">
      <c r="A19" s="59"/>
      <c r="B19" s="60"/>
      <c r="C19" s="37"/>
      <c r="D19" s="37"/>
      <c r="E19" s="37"/>
      <c r="F19" s="37"/>
      <c r="G19" s="37"/>
      <c r="H19" s="36"/>
      <c r="I19" s="37"/>
      <c r="J19" s="37"/>
      <c r="K19" s="37"/>
      <c r="L19" s="37"/>
      <c r="M19" s="37"/>
      <c r="N19" s="63"/>
      <c r="O19" s="58"/>
    </row>
    <row r="20" spans="1:15" s="52" customFormat="1" ht="13.9" customHeight="1">
      <c r="A20" s="59"/>
      <c r="B20" s="64" t="s">
        <v>58</v>
      </c>
      <c r="C20" s="65"/>
      <c r="D20" s="37"/>
      <c r="E20" s="37"/>
      <c r="F20" s="37"/>
      <c r="G20" s="37"/>
      <c r="H20" s="36"/>
      <c r="I20" s="65" t="s">
        <v>35</v>
      </c>
      <c r="J20" s="65"/>
      <c r="K20" s="37"/>
      <c r="L20" s="37"/>
      <c r="M20" s="37"/>
      <c r="N20" s="63"/>
      <c r="O20" s="58"/>
    </row>
    <row r="21" spans="1:15" s="52" customFormat="1" ht="13.9" customHeight="1">
      <c r="A21" s="59"/>
      <c r="B21" s="64">
        <f>E23-B23</f>
        <v>15014</v>
      </c>
      <c r="C21" s="65" t="s">
        <v>59</v>
      </c>
      <c r="D21" s="37"/>
      <c r="E21" s="37"/>
      <c r="F21" s="37"/>
      <c r="G21" s="37"/>
      <c r="H21" s="36"/>
      <c r="I21" s="65">
        <f>L23-I23</f>
        <v>508</v>
      </c>
      <c r="J21" s="65" t="s">
        <v>60</v>
      </c>
      <c r="K21" s="37"/>
      <c r="L21" s="37"/>
      <c r="M21" s="37"/>
      <c r="N21" s="63"/>
      <c r="O21" s="58"/>
    </row>
    <row r="22" spans="1:15" s="52" customFormat="1" ht="13.9" customHeight="1">
      <c r="A22" s="59"/>
      <c r="B22" s="91" t="str">
        <f>ROUND(B23/E23,3)*100 &amp; "% of titles circulated"</f>
        <v>77.9% of titles circulated</v>
      </c>
      <c r="C22" s="92"/>
      <c r="D22" s="92"/>
      <c r="E22" s="92"/>
      <c r="F22" s="92"/>
      <c r="G22" s="92"/>
      <c r="H22" s="66"/>
      <c r="I22" s="92" t="str">
        <f>ROUND(I23/L23,3)*100 &amp; "% of titles circulated"</f>
        <v>98.1% of titles circulated</v>
      </c>
      <c r="J22" s="92"/>
      <c r="K22" s="92"/>
      <c r="L22" s="92"/>
      <c r="M22" s="92"/>
      <c r="N22" s="93"/>
      <c r="O22" s="58"/>
    </row>
    <row r="23" spans="1:15" s="52" customFormat="1" ht="13.9" customHeight="1">
      <c r="A23" s="59"/>
      <c r="B23" s="67">
        <f>'OverDrive Statistics'!M85</f>
        <v>53014</v>
      </c>
      <c r="C23" s="94" t="s">
        <v>61</v>
      </c>
      <c r="D23" s="94"/>
      <c r="E23" s="68">
        <f>'OverDrive Statistics'!M29</f>
        <v>68028</v>
      </c>
      <c r="F23" s="69" t="s">
        <v>62</v>
      </c>
      <c r="G23" s="69"/>
      <c r="H23" s="66"/>
      <c r="I23" s="68">
        <f>'OverDrive Statistics'!M84</f>
        <v>26541</v>
      </c>
      <c r="J23" s="70" t="s">
        <v>61</v>
      </c>
      <c r="K23" s="70"/>
      <c r="L23" s="68">
        <f>'OverDrive Statistics'!M28</f>
        <v>27049</v>
      </c>
      <c r="M23" s="70" t="s">
        <v>62</v>
      </c>
      <c r="N23" s="71"/>
      <c r="O23" s="58"/>
    </row>
    <row r="24" spans="1:15" s="52" customFormat="1" ht="13.9" customHeight="1">
      <c r="A24" s="59"/>
      <c r="B24" s="7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73"/>
      <c r="O24" s="58"/>
    </row>
    <row r="25" spans="1:15" s="52" customFormat="1" ht="13.9" customHeight="1">
      <c r="A25" s="59"/>
      <c r="B25" s="72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73"/>
      <c r="O25" s="58"/>
    </row>
    <row r="26" spans="1:15" s="52" customFormat="1" ht="13.9" customHeight="1">
      <c r="A26" s="59"/>
      <c r="B26" s="72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73"/>
      <c r="O26" s="58"/>
    </row>
    <row r="27" spans="1:15" s="52" customFormat="1" ht="13.9" customHeight="1">
      <c r="A27" s="59"/>
      <c r="B27" s="72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73"/>
      <c r="O27" s="58"/>
    </row>
    <row r="28" spans="1:15" s="52" customFormat="1" ht="13.9" customHeight="1">
      <c r="A28" s="59"/>
      <c r="B28" s="7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73"/>
      <c r="O28" s="58"/>
    </row>
    <row r="29" spans="1:15" s="52" customFormat="1" ht="13.9" customHeight="1">
      <c r="A29" s="59"/>
      <c r="B29" s="72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73"/>
      <c r="O29" s="58"/>
    </row>
    <row r="30" spans="1:15" s="52" customFormat="1" ht="13.9" customHeight="1">
      <c r="A30" s="59"/>
      <c r="B30" s="72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73"/>
      <c r="O30" s="58"/>
    </row>
    <row r="31" spans="1:15" ht="13.9" customHeight="1">
      <c r="A31" s="59"/>
      <c r="B31" s="72"/>
      <c r="C31" s="36"/>
      <c r="D31" s="36"/>
      <c r="E31" s="36"/>
      <c r="F31" s="36"/>
      <c r="G31" s="36"/>
      <c r="H31" s="36"/>
      <c r="I31" s="40"/>
      <c r="J31" s="36"/>
      <c r="K31" s="36"/>
      <c r="L31" s="36"/>
      <c r="M31" s="36"/>
      <c r="N31" s="73"/>
      <c r="O31" s="58"/>
    </row>
    <row r="32" spans="1:15" ht="13.9" customHeight="1">
      <c r="B32" s="72"/>
      <c r="C32" s="36"/>
      <c r="D32" s="36"/>
      <c r="E32" s="36"/>
      <c r="F32" s="36"/>
      <c r="G32" s="36"/>
      <c r="H32" s="36"/>
      <c r="I32" s="40"/>
      <c r="J32" s="36"/>
      <c r="K32" s="36"/>
      <c r="L32" s="36"/>
      <c r="M32" s="36"/>
      <c r="N32" s="73"/>
    </row>
    <row r="33" spans="1:15" s="52" customFormat="1" ht="13.9" customHeight="1">
      <c r="A33" s="59"/>
      <c r="B33" s="72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73"/>
      <c r="O33" s="58"/>
    </row>
    <row r="34" spans="1:15" s="52" customFormat="1" ht="13.9" customHeight="1">
      <c r="A34" s="59"/>
      <c r="B34" s="72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73"/>
      <c r="O34" s="58"/>
    </row>
    <row r="35" spans="1:15" ht="13.9" customHeight="1">
      <c r="A35" s="59"/>
      <c r="B35" s="7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73"/>
      <c r="O35" s="58"/>
    </row>
    <row r="36" spans="1:15" ht="13.9" customHeight="1">
      <c r="A36" s="59"/>
      <c r="B36" s="72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73"/>
      <c r="O36" s="58"/>
    </row>
    <row r="37" spans="1:15" ht="13.9" customHeight="1">
      <c r="A37" s="59"/>
      <c r="B37" s="72"/>
      <c r="C37" s="36"/>
      <c r="D37" s="36"/>
      <c r="E37" s="36"/>
      <c r="F37" s="36"/>
      <c r="G37" s="36"/>
      <c r="H37" s="36"/>
      <c r="I37" s="39"/>
      <c r="J37" s="39"/>
      <c r="K37" s="39"/>
      <c r="L37" s="38"/>
      <c r="M37" s="38"/>
      <c r="N37" s="74"/>
      <c r="O37" s="58"/>
    </row>
    <row r="38" spans="1:15" ht="13.9" customHeight="1">
      <c r="A38" s="59"/>
      <c r="B38" s="72"/>
      <c r="C38" s="36"/>
      <c r="D38" s="36"/>
      <c r="E38" s="36"/>
      <c r="F38" s="36"/>
      <c r="G38" s="36"/>
      <c r="H38" s="36"/>
      <c r="I38" s="39"/>
      <c r="J38" s="39"/>
      <c r="K38" s="39"/>
      <c r="L38" s="36"/>
      <c r="M38" s="36"/>
      <c r="N38" s="73"/>
      <c r="O38" s="58"/>
    </row>
    <row r="39" spans="1:15" ht="13.9" customHeight="1">
      <c r="A39" s="59"/>
      <c r="B39" s="72"/>
      <c r="C39" s="36"/>
      <c r="D39" s="36"/>
      <c r="E39" s="36"/>
      <c r="F39" s="36"/>
      <c r="G39" s="36"/>
      <c r="H39" s="36"/>
      <c r="I39" s="39"/>
      <c r="J39" s="36"/>
      <c r="K39" s="36"/>
      <c r="L39" s="36"/>
      <c r="M39" s="36"/>
      <c r="N39" s="73"/>
      <c r="O39" s="58"/>
    </row>
    <row r="40" spans="1:15" ht="15">
      <c r="A40" s="59"/>
      <c r="B40" s="95" t="s">
        <v>82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7"/>
      <c r="O40" s="58"/>
    </row>
    <row r="41" spans="1:15" ht="9" customHeight="1" thickBot="1">
      <c r="A41" s="59"/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58"/>
    </row>
    <row r="42" spans="1:15" ht="13.9" customHeight="1">
      <c r="A42" s="59"/>
      <c r="B42" s="101">
        <f>'Simultaneous Use Circ'!Q8</f>
        <v>407678</v>
      </c>
      <c r="C42" s="102"/>
      <c r="D42" s="102"/>
      <c r="E42" s="102"/>
      <c r="F42" s="102"/>
      <c r="G42" s="102"/>
      <c r="H42" s="75"/>
      <c r="I42" s="103" t="s">
        <v>85</v>
      </c>
      <c r="J42" s="103"/>
      <c r="K42" s="103"/>
      <c r="L42" s="103"/>
      <c r="M42" s="103"/>
      <c r="N42" s="104"/>
      <c r="O42" s="58"/>
    </row>
    <row r="43" spans="1:15" ht="13.9" customHeight="1">
      <c r="A43" s="59"/>
      <c r="B43" s="76"/>
      <c r="C43" s="77"/>
      <c r="D43" s="77"/>
      <c r="E43" s="77"/>
      <c r="F43" s="77"/>
      <c r="G43" s="77"/>
      <c r="H43" s="77"/>
      <c r="I43" s="78"/>
      <c r="J43" s="77"/>
      <c r="K43" s="77"/>
      <c r="L43" s="77"/>
      <c r="M43" s="77"/>
      <c r="N43" s="79"/>
      <c r="O43" s="58"/>
    </row>
    <row r="44" spans="1:15" ht="13.9" customHeight="1">
      <c r="A44" s="59"/>
      <c r="B44" s="76"/>
      <c r="C44" s="77"/>
      <c r="D44" s="77"/>
      <c r="E44" s="77"/>
      <c r="F44" s="77"/>
      <c r="G44" s="77"/>
      <c r="H44" s="77"/>
      <c r="I44" s="78"/>
      <c r="J44" s="77"/>
      <c r="K44" s="77"/>
      <c r="L44" s="77"/>
      <c r="M44" s="77"/>
      <c r="N44" s="79"/>
      <c r="O44" s="58"/>
    </row>
    <row r="45" spans="1:15" ht="13.9" customHeight="1">
      <c r="A45" s="59"/>
      <c r="B45" s="76"/>
      <c r="C45" s="77"/>
      <c r="D45" s="77"/>
      <c r="E45" s="77"/>
      <c r="F45" s="77"/>
      <c r="G45" s="77"/>
      <c r="H45" s="77"/>
      <c r="I45" s="78"/>
      <c r="J45" s="77"/>
      <c r="K45" s="77"/>
      <c r="L45" s="77"/>
      <c r="M45" s="77"/>
      <c r="N45" s="79"/>
      <c r="O45" s="58"/>
    </row>
    <row r="46" spans="1:15" ht="13.9" customHeight="1">
      <c r="A46" s="59"/>
      <c r="B46" s="76"/>
      <c r="C46" s="77"/>
      <c r="D46" s="77"/>
      <c r="E46" s="77"/>
      <c r="F46" s="77"/>
      <c r="G46" s="77"/>
      <c r="H46" s="77"/>
      <c r="I46" s="78"/>
      <c r="J46" s="77"/>
      <c r="K46" s="77"/>
      <c r="L46" s="77"/>
      <c r="M46" s="77"/>
      <c r="N46" s="79"/>
      <c r="O46" s="58"/>
    </row>
    <row r="47" spans="1:15" ht="13.9" customHeight="1">
      <c r="A47" s="59"/>
      <c r="B47" s="76"/>
      <c r="C47" s="77"/>
      <c r="D47" s="77"/>
      <c r="E47" s="77"/>
      <c r="F47" s="77"/>
      <c r="G47" s="77"/>
      <c r="H47" s="77"/>
      <c r="I47" s="78"/>
      <c r="J47" s="77"/>
      <c r="K47" s="77"/>
      <c r="L47" s="77"/>
      <c r="M47" s="77"/>
      <c r="N47" s="79"/>
      <c r="O47" s="58"/>
    </row>
    <row r="48" spans="1:15" ht="13.9" customHeight="1">
      <c r="A48" s="53"/>
      <c r="B48" s="76"/>
      <c r="C48" s="77"/>
      <c r="D48" s="77"/>
      <c r="E48" s="77"/>
      <c r="F48" s="77"/>
      <c r="G48" s="77"/>
      <c r="H48" s="77"/>
      <c r="I48" s="78"/>
      <c r="J48" s="77"/>
      <c r="K48" s="77"/>
      <c r="L48" s="77"/>
      <c r="M48" s="77"/>
      <c r="N48" s="79"/>
      <c r="O48" s="53"/>
    </row>
    <row r="49" spans="2:14" s="52" customFormat="1" ht="13.9" customHeight="1">
      <c r="B49" s="80"/>
      <c r="C49" s="81"/>
      <c r="D49" s="81"/>
      <c r="E49" s="81"/>
      <c r="F49" s="81"/>
      <c r="G49" s="81"/>
      <c r="H49" s="81"/>
      <c r="I49" s="82"/>
      <c r="J49" s="81"/>
      <c r="K49" s="81"/>
      <c r="L49" s="81"/>
      <c r="M49" s="81"/>
      <c r="N49" s="83"/>
    </row>
    <row r="50" spans="2:14" s="52" customFormat="1" ht="13.9" customHeight="1"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0"/>
    </row>
  </sheetData>
  <mergeCells count="21">
    <mergeCell ref="B1:N3"/>
    <mergeCell ref="B4:N5"/>
    <mergeCell ref="B6:N7"/>
    <mergeCell ref="B8:N9"/>
    <mergeCell ref="B10:G11"/>
    <mergeCell ref="I10:N11"/>
    <mergeCell ref="B12:D12"/>
    <mergeCell ref="E12:G12"/>
    <mergeCell ref="I12:K12"/>
    <mergeCell ref="L12:N12"/>
    <mergeCell ref="B13:D13"/>
    <mergeCell ref="E13:G13"/>
    <mergeCell ref="I13:K13"/>
    <mergeCell ref="L13:N13"/>
    <mergeCell ref="B50:N50"/>
    <mergeCell ref="B22:G22"/>
    <mergeCell ref="I22:N22"/>
    <mergeCell ref="C23:D23"/>
    <mergeCell ref="B40:N41"/>
    <mergeCell ref="B42:G42"/>
    <mergeCell ref="I42:N42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6"/>
  <sheetViews>
    <sheetView zoomScale="70" zoomScaleNormal="7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L12" sqref="L12"/>
    </sheetView>
  </sheetViews>
  <sheetFormatPr defaultRowHeight="15"/>
  <cols>
    <col min="1" max="1" width="42.7109375" bestFit="1" customWidth="1"/>
    <col min="2" max="13" width="13.7109375" customWidth="1"/>
    <col min="14" max="14" width="13.42578125" customWidth="1"/>
    <col min="15" max="15" width="9.28515625"/>
    <col min="16" max="16" width="9.28515625" customWidth="1"/>
    <col min="17" max="17" width="11.42578125" customWidth="1"/>
    <col min="18" max="77" width="9.28515625"/>
  </cols>
  <sheetData>
    <row r="1" spans="1:77" ht="21">
      <c r="A1" s="135" t="s">
        <v>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8"/>
    </row>
    <row r="2" spans="1:77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16" t="s">
        <v>66</v>
      </c>
    </row>
    <row r="3" spans="1:77">
      <c r="A3" s="1" t="s">
        <v>25</v>
      </c>
      <c r="B3" s="3">
        <f>SUM(B4:B5)</f>
        <v>661</v>
      </c>
      <c r="C3" s="3">
        <f t="shared" ref="C3:N3" si="0">SUM(C4:C5)</f>
        <v>523</v>
      </c>
      <c r="D3" s="3">
        <f t="shared" si="0"/>
        <v>781</v>
      </c>
      <c r="E3" s="3">
        <f t="shared" si="0"/>
        <v>1148</v>
      </c>
      <c r="F3" s="3">
        <f t="shared" si="0"/>
        <v>810</v>
      </c>
      <c r="G3" s="3">
        <f t="shared" si="0"/>
        <v>599</v>
      </c>
      <c r="H3" s="3">
        <f t="shared" si="0"/>
        <v>433</v>
      </c>
      <c r="I3" s="3">
        <f t="shared" si="0"/>
        <v>442</v>
      </c>
      <c r="J3" s="3">
        <f t="shared" si="0"/>
        <v>429</v>
      </c>
      <c r="K3" s="3">
        <f t="shared" si="0"/>
        <v>413</v>
      </c>
      <c r="L3" s="3">
        <f t="shared" si="0"/>
        <v>342</v>
      </c>
      <c r="M3" s="3">
        <f t="shared" si="0"/>
        <v>398</v>
      </c>
      <c r="N3" s="3">
        <f t="shared" si="0"/>
        <v>6979</v>
      </c>
    </row>
    <row r="4" spans="1:77" s="21" customFormat="1">
      <c r="A4" s="5" t="s">
        <v>26</v>
      </c>
      <c r="B4" s="6">
        <v>574</v>
      </c>
      <c r="C4" s="6">
        <v>455</v>
      </c>
      <c r="D4" s="6">
        <v>617</v>
      </c>
      <c r="E4" s="6">
        <v>878</v>
      </c>
      <c r="F4" s="6">
        <v>673</v>
      </c>
      <c r="G4" s="6">
        <v>518</v>
      </c>
      <c r="H4" s="6">
        <v>378</v>
      </c>
      <c r="I4" s="6">
        <v>400</v>
      </c>
      <c r="J4" s="6">
        <v>381</v>
      </c>
      <c r="K4" s="6">
        <v>367</v>
      </c>
      <c r="L4" s="6">
        <v>268</v>
      </c>
      <c r="M4" s="6">
        <v>361</v>
      </c>
      <c r="N4" s="17">
        <f>SUM(B4:M4)</f>
        <v>5870</v>
      </c>
      <c r="O4" s="1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s="21" customFormat="1">
      <c r="A5" s="5" t="s">
        <v>24</v>
      </c>
      <c r="B5" s="6">
        <v>87</v>
      </c>
      <c r="C5" s="6">
        <v>68</v>
      </c>
      <c r="D5" s="6">
        <v>164</v>
      </c>
      <c r="E5" s="6">
        <v>270</v>
      </c>
      <c r="F5" s="6">
        <v>137</v>
      </c>
      <c r="G5" s="6">
        <v>81</v>
      </c>
      <c r="H5" s="6">
        <v>55</v>
      </c>
      <c r="I5" s="6">
        <v>42</v>
      </c>
      <c r="J5" s="6">
        <v>48</v>
      </c>
      <c r="K5" s="6">
        <v>46</v>
      </c>
      <c r="L5" s="6">
        <v>74</v>
      </c>
      <c r="M5" s="6">
        <v>37</v>
      </c>
      <c r="N5" s="17">
        <f>SUM(B5:M5)</f>
        <v>1109</v>
      </c>
      <c r="O5" s="1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>
      <c r="A6" s="1" t="s">
        <v>12</v>
      </c>
      <c r="B6" s="3">
        <f>SUM(B7:B9)</f>
        <v>249036</v>
      </c>
      <c r="C6" s="3">
        <f t="shared" ref="C6:N6" si="1">SUM(C7:C9)</f>
        <v>230563</v>
      </c>
      <c r="D6" s="3">
        <f t="shared" si="1"/>
        <v>225872</v>
      </c>
      <c r="E6" s="3">
        <f t="shared" si="1"/>
        <v>235015</v>
      </c>
      <c r="F6" s="3">
        <f t="shared" si="1"/>
        <v>243997</v>
      </c>
      <c r="G6" s="3">
        <f t="shared" si="1"/>
        <v>250889</v>
      </c>
      <c r="H6" s="3">
        <f t="shared" si="1"/>
        <v>257835</v>
      </c>
      <c r="I6" s="3">
        <f t="shared" si="1"/>
        <v>257489</v>
      </c>
      <c r="J6" s="3">
        <f t="shared" si="1"/>
        <v>247439</v>
      </c>
      <c r="K6" s="3">
        <f t="shared" si="1"/>
        <v>249635</v>
      </c>
      <c r="L6" s="3">
        <f t="shared" si="1"/>
        <v>242151</v>
      </c>
      <c r="M6" s="3">
        <f t="shared" si="1"/>
        <v>244994</v>
      </c>
      <c r="N6" s="3">
        <f t="shared" si="1"/>
        <v>2934915</v>
      </c>
    </row>
    <row r="7" spans="1:77">
      <c r="A7" s="5" t="s">
        <v>13</v>
      </c>
      <c r="B7" s="6">
        <v>88586</v>
      </c>
      <c r="C7" s="6">
        <v>80070</v>
      </c>
      <c r="D7" s="6">
        <v>82634</v>
      </c>
      <c r="E7" s="6">
        <v>83307</v>
      </c>
      <c r="F7" s="6">
        <v>87001</v>
      </c>
      <c r="G7" s="6">
        <v>87784</v>
      </c>
      <c r="H7" s="6">
        <v>87222</v>
      </c>
      <c r="I7" s="6">
        <v>85575</v>
      </c>
      <c r="J7" s="6">
        <v>82215</v>
      </c>
      <c r="K7" s="6">
        <v>80840</v>
      </c>
      <c r="L7" s="6">
        <v>77598</v>
      </c>
      <c r="M7" s="6">
        <v>77182</v>
      </c>
      <c r="N7" s="17">
        <f>SUM(B7:M7)</f>
        <v>1000014</v>
      </c>
      <c r="O7" s="19"/>
    </row>
    <row r="8" spans="1:77">
      <c r="A8" s="5" t="s">
        <v>28</v>
      </c>
      <c r="B8" s="6">
        <v>145481</v>
      </c>
      <c r="C8" s="6">
        <v>137145</v>
      </c>
      <c r="D8" s="6">
        <v>133460</v>
      </c>
      <c r="E8" s="6">
        <v>141092</v>
      </c>
      <c r="F8" s="6">
        <v>149733</v>
      </c>
      <c r="G8" s="6">
        <v>155793</v>
      </c>
      <c r="H8" s="6">
        <v>163515</v>
      </c>
      <c r="I8" s="6">
        <v>165086</v>
      </c>
      <c r="J8" s="6">
        <v>158708</v>
      </c>
      <c r="K8" s="6">
        <v>162617</v>
      </c>
      <c r="L8" s="6">
        <v>158366</v>
      </c>
      <c r="M8" s="6">
        <v>161717</v>
      </c>
      <c r="N8" s="17">
        <f>SUM(B8:M8)</f>
        <v>1832713</v>
      </c>
      <c r="O8" s="19"/>
    </row>
    <row r="9" spans="1:77">
      <c r="A9" s="5" t="s">
        <v>41</v>
      </c>
      <c r="B9" s="6">
        <v>14969</v>
      </c>
      <c r="C9" s="6">
        <v>13348</v>
      </c>
      <c r="D9" s="6">
        <v>9778</v>
      </c>
      <c r="E9" s="6">
        <v>10616</v>
      </c>
      <c r="F9" s="6">
        <v>7263</v>
      </c>
      <c r="G9" s="6">
        <v>7312</v>
      </c>
      <c r="H9" s="6">
        <v>7098</v>
      </c>
      <c r="I9" s="6">
        <v>6828</v>
      </c>
      <c r="J9" s="6">
        <v>6516</v>
      </c>
      <c r="K9" s="6">
        <v>6178</v>
      </c>
      <c r="L9" s="6">
        <v>6187</v>
      </c>
      <c r="M9" s="6">
        <v>6095</v>
      </c>
      <c r="N9" s="17">
        <f>SUM(B9:M9)</f>
        <v>102188</v>
      </c>
      <c r="O9" s="19"/>
    </row>
    <row r="10" spans="1:77">
      <c r="A10" s="1" t="s">
        <v>14</v>
      </c>
      <c r="B10" s="3">
        <f>SUM(B11:B19)</f>
        <v>295863</v>
      </c>
      <c r="C10" s="3">
        <f t="shared" ref="C10:N10" si="2">SUM(C11:C19)</f>
        <v>277640</v>
      </c>
      <c r="D10" s="3">
        <f t="shared" si="2"/>
        <v>324252</v>
      </c>
      <c r="E10" s="3">
        <f t="shared" si="2"/>
        <v>387937</v>
      </c>
      <c r="F10" s="3">
        <f t="shared" si="2"/>
        <v>378575</v>
      </c>
      <c r="G10" s="3">
        <f t="shared" si="2"/>
        <v>353441</v>
      </c>
      <c r="H10" s="3">
        <f t="shared" si="2"/>
        <v>362325</v>
      </c>
      <c r="I10" s="3">
        <f t="shared" si="2"/>
        <v>353161</v>
      </c>
      <c r="J10" s="3">
        <f t="shared" si="2"/>
        <v>330260</v>
      </c>
      <c r="K10" s="3">
        <f t="shared" si="2"/>
        <v>331022</v>
      </c>
      <c r="L10" s="3">
        <f t="shared" si="2"/>
        <v>328252</v>
      </c>
      <c r="M10" s="3">
        <f t="shared" si="2"/>
        <v>335142</v>
      </c>
      <c r="N10" s="3">
        <f t="shared" si="2"/>
        <v>4057870</v>
      </c>
    </row>
    <row r="11" spans="1:77">
      <c r="A11" s="5" t="s">
        <v>15</v>
      </c>
      <c r="B11" s="6">
        <v>196</v>
      </c>
      <c r="C11" s="6">
        <v>157</v>
      </c>
      <c r="D11" s="6">
        <v>279</v>
      </c>
      <c r="E11" s="6">
        <v>374</v>
      </c>
      <c r="F11" s="6">
        <v>289</v>
      </c>
      <c r="G11" s="6">
        <v>231</v>
      </c>
      <c r="H11" s="6">
        <v>275</v>
      </c>
      <c r="I11" s="6">
        <v>225</v>
      </c>
      <c r="J11" s="6">
        <v>246</v>
      </c>
      <c r="K11" s="6">
        <v>252</v>
      </c>
      <c r="L11" s="6">
        <v>244</v>
      </c>
      <c r="M11" s="6">
        <v>263</v>
      </c>
      <c r="N11" s="17">
        <f>SUM(B11:M11)</f>
        <v>3031</v>
      </c>
      <c r="O11" s="19"/>
    </row>
    <row r="12" spans="1:77">
      <c r="A12" s="5" t="s">
        <v>16</v>
      </c>
      <c r="B12" s="6">
        <v>63890</v>
      </c>
      <c r="C12" s="6">
        <v>59356</v>
      </c>
      <c r="D12" s="6">
        <v>69948</v>
      </c>
      <c r="E12" s="6">
        <v>75330</v>
      </c>
      <c r="F12" s="6">
        <v>72629</v>
      </c>
      <c r="G12" s="6">
        <v>67809</v>
      </c>
      <c r="H12" s="6">
        <v>69391</v>
      </c>
      <c r="I12" s="6">
        <v>67011</v>
      </c>
      <c r="J12" s="6">
        <v>63185</v>
      </c>
      <c r="K12" s="6">
        <v>63645</v>
      </c>
      <c r="L12" s="6">
        <v>62621</v>
      </c>
      <c r="M12" s="6">
        <v>61893</v>
      </c>
      <c r="N12" s="17">
        <f>SUM(B12:M12)</f>
        <v>796708</v>
      </c>
      <c r="O12" s="19"/>
    </row>
    <row r="13" spans="1:77">
      <c r="A13" s="5" t="s">
        <v>17</v>
      </c>
      <c r="B13" s="6">
        <v>23</v>
      </c>
      <c r="C13" s="6">
        <v>16</v>
      </c>
      <c r="D13" s="6">
        <v>22</v>
      </c>
      <c r="E13" s="6">
        <v>34</v>
      </c>
      <c r="F13" s="6">
        <v>19</v>
      </c>
      <c r="G13" s="6">
        <v>27</v>
      </c>
      <c r="H13" s="6">
        <v>26</v>
      </c>
      <c r="I13" s="6">
        <v>24</v>
      </c>
      <c r="J13" s="6">
        <v>35</v>
      </c>
      <c r="K13" s="6">
        <v>20</v>
      </c>
      <c r="L13" s="6">
        <v>31</v>
      </c>
      <c r="M13" s="6">
        <v>16</v>
      </c>
      <c r="N13" s="17">
        <f>SUM(B13:M13)</f>
        <v>293</v>
      </c>
      <c r="O13" s="19"/>
    </row>
    <row r="14" spans="1:77">
      <c r="A14" s="5" t="s">
        <v>18</v>
      </c>
      <c r="B14" s="6">
        <v>1617</v>
      </c>
      <c r="C14" s="6">
        <v>1487</v>
      </c>
      <c r="D14" s="6">
        <v>1634</v>
      </c>
      <c r="E14" s="6">
        <v>1831</v>
      </c>
      <c r="F14" s="6">
        <v>1591</v>
      </c>
      <c r="G14" s="6">
        <v>1514</v>
      </c>
      <c r="H14" s="6">
        <v>1477</v>
      </c>
      <c r="I14" s="6">
        <v>1394</v>
      </c>
      <c r="J14" s="6">
        <v>1270</v>
      </c>
      <c r="K14" s="6">
        <v>1287</v>
      </c>
      <c r="L14" s="6">
        <v>1189</v>
      </c>
      <c r="M14" s="6">
        <v>1206</v>
      </c>
      <c r="N14" s="17">
        <f>SUM(B14:M14)</f>
        <v>17497</v>
      </c>
      <c r="O14" s="19"/>
    </row>
    <row r="15" spans="1:77">
      <c r="A15" s="5" t="s">
        <v>19</v>
      </c>
      <c r="B15" s="6">
        <v>98047</v>
      </c>
      <c r="C15" s="6">
        <v>89230</v>
      </c>
      <c r="D15" s="6">
        <v>110844</v>
      </c>
      <c r="E15" s="6">
        <v>129514</v>
      </c>
      <c r="F15" s="6">
        <v>128943</v>
      </c>
      <c r="G15" s="6">
        <v>123060</v>
      </c>
      <c r="H15" s="6">
        <v>126020</v>
      </c>
      <c r="I15" s="6">
        <v>122811</v>
      </c>
      <c r="J15" s="6">
        <v>111188</v>
      </c>
      <c r="K15" s="6">
        <v>107974</v>
      </c>
      <c r="L15" s="6">
        <v>104991</v>
      </c>
      <c r="M15" s="6">
        <v>113449</v>
      </c>
      <c r="N15" s="17">
        <f t="shared" ref="N15:N19" si="3">SUM(B15:M15)</f>
        <v>1366071</v>
      </c>
      <c r="O15" s="19"/>
    </row>
    <row r="16" spans="1:77">
      <c r="A16" s="5" t="s">
        <v>32</v>
      </c>
      <c r="B16" s="6">
        <v>397</v>
      </c>
      <c r="C16" s="6">
        <v>368</v>
      </c>
      <c r="D16" s="6">
        <v>528</v>
      </c>
      <c r="E16" s="6">
        <v>729</v>
      </c>
      <c r="F16" s="6">
        <v>948</v>
      </c>
      <c r="G16" s="6">
        <v>1022</v>
      </c>
      <c r="H16" s="6">
        <v>1155</v>
      </c>
      <c r="I16" s="6">
        <v>1067</v>
      </c>
      <c r="J16" s="6">
        <v>1024</v>
      </c>
      <c r="K16" s="6">
        <v>1011</v>
      </c>
      <c r="L16" s="6">
        <v>989</v>
      </c>
      <c r="M16" s="6">
        <v>1105</v>
      </c>
      <c r="N16" s="17">
        <f t="shared" si="3"/>
        <v>10343</v>
      </c>
      <c r="O16" s="19"/>
    </row>
    <row r="17" spans="1:16">
      <c r="A17" s="5" t="s">
        <v>29</v>
      </c>
      <c r="B17" s="6">
        <v>0</v>
      </c>
      <c r="C17" s="6">
        <v>0</v>
      </c>
      <c r="D17" s="6">
        <v>0</v>
      </c>
      <c r="E17" s="6">
        <v>0</v>
      </c>
      <c r="F17" s="6">
        <v>6</v>
      </c>
      <c r="G17" s="6">
        <v>11</v>
      </c>
      <c r="H17" s="6">
        <v>4</v>
      </c>
      <c r="I17" s="6">
        <v>3</v>
      </c>
      <c r="J17" s="6">
        <v>2</v>
      </c>
      <c r="K17" s="6">
        <v>2</v>
      </c>
      <c r="L17" s="6">
        <v>2</v>
      </c>
      <c r="M17" s="6">
        <v>3</v>
      </c>
      <c r="N17" s="17">
        <f t="shared" si="3"/>
        <v>33</v>
      </c>
      <c r="O17" s="19"/>
    </row>
    <row r="18" spans="1:16">
      <c r="A18" s="5" t="s">
        <v>27</v>
      </c>
      <c r="B18" s="6">
        <v>109908</v>
      </c>
      <c r="C18" s="6">
        <v>106850</v>
      </c>
      <c r="D18" s="6">
        <v>121298</v>
      </c>
      <c r="E18" s="6">
        <v>157756</v>
      </c>
      <c r="F18" s="6">
        <v>160393</v>
      </c>
      <c r="G18" s="6">
        <v>147269</v>
      </c>
      <c r="H18" s="6">
        <v>151946</v>
      </c>
      <c r="I18" s="6">
        <v>149113</v>
      </c>
      <c r="J18" s="6">
        <v>141813</v>
      </c>
      <c r="K18" s="6">
        <v>145092</v>
      </c>
      <c r="L18" s="6">
        <v>146286</v>
      </c>
      <c r="M18" s="6">
        <v>146483</v>
      </c>
      <c r="N18" s="17">
        <f t="shared" si="3"/>
        <v>1684207</v>
      </c>
      <c r="O18" s="19"/>
    </row>
    <row r="19" spans="1:16">
      <c r="A19" s="5" t="s">
        <v>40</v>
      </c>
      <c r="B19" s="6">
        <v>21785</v>
      </c>
      <c r="C19" s="6">
        <v>20176</v>
      </c>
      <c r="D19" s="6">
        <v>19699</v>
      </c>
      <c r="E19" s="6">
        <v>22369</v>
      </c>
      <c r="F19" s="6">
        <v>13757</v>
      </c>
      <c r="G19" s="6">
        <v>12498</v>
      </c>
      <c r="H19" s="6">
        <v>12031</v>
      </c>
      <c r="I19" s="6">
        <v>11513</v>
      </c>
      <c r="J19" s="6">
        <v>11497</v>
      </c>
      <c r="K19" s="6">
        <v>11739</v>
      </c>
      <c r="L19" s="6">
        <v>11899</v>
      </c>
      <c r="M19" s="6">
        <v>10724</v>
      </c>
      <c r="N19" s="17">
        <f t="shared" si="3"/>
        <v>179687</v>
      </c>
      <c r="O19" s="19"/>
    </row>
    <row r="20" spans="1:16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/>
      <c r="O20" s="19"/>
    </row>
    <row r="21" spans="1:16">
      <c r="A21" s="7" t="s">
        <v>20</v>
      </c>
      <c r="B21" s="8">
        <f>SUM(B3,B6,B10)</f>
        <v>545560</v>
      </c>
      <c r="C21" s="8">
        <f t="shared" ref="C21:M21" si="4">SUM(C3,C6,C10)</f>
        <v>508726</v>
      </c>
      <c r="D21" s="8">
        <f t="shared" si="4"/>
        <v>550905</v>
      </c>
      <c r="E21" s="8">
        <f t="shared" si="4"/>
        <v>624100</v>
      </c>
      <c r="F21" s="8">
        <f t="shared" si="4"/>
        <v>623382</v>
      </c>
      <c r="G21" s="8">
        <f t="shared" si="4"/>
        <v>604929</v>
      </c>
      <c r="H21" s="8">
        <f t="shared" si="4"/>
        <v>620593</v>
      </c>
      <c r="I21" s="8">
        <f t="shared" si="4"/>
        <v>611092</v>
      </c>
      <c r="J21" s="8">
        <f t="shared" si="4"/>
        <v>578128</v>
      </c>
      <c r="K21" s="8">
        <f t="shared" si="4"/>
        <v>581070</v>
      </c>
      <c r="L21" s="8">
        <f t="shared" si="4"/>
        <v>570745</v>
      </c>
      <c r="M21" s="8">
        <f t="shared" si="4"/>
        <v>580534</v>
      </c>
      <c r="N21" s="23">
        <f>SUM(N3,N6,N10)</f>
        <v>6999764</v>
      </c>
      <c r="P21" t="s">
        <v>39</v>
      </c>
    </row>
    <row r="22" spans="1:16">
      <c r="A22" s="46"/>
    </row>
    <row r="24" spans="1:16">
      <c r="A24" s="137" t="s">
        <v>67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6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6" ht="60">
      <c r="A26" s="9" t="s">
        <v>42</v>
      </c>
      <c r="B26" s="10" t="s">
        <v>68</v>
      </c>
      <c r="C26" s="10" t="s">
        <v>86</v>
      </c>
      <c r="D26" s="10" t="s">
        <v>69</v>
      </c>
      <c r="E26" s="10" t="s">
        <v>70</v>
      </c>
      <c r="F26" s="10" t="s">
        <v>71</v>
      </c>
      <c r="G26" s="10" t="s">
        <v>72</v>
      </c>
      <c r="H26" s="10" t="s">
        <v>73</v>
      </c>
      <c r="I26" s="10" t="s">
        <v>74</v>
      </c>
      <c r="J26" s="10" t="s">
        <v>75</v>
      </c>
      <c r="K26" s="10" t="s">
        <v>76</v>
      </c>
      <c r="L26" s="10" t="s">
        <v>77</v>
      </c>
      <c r="M26" s="11" t="s">
        <v>78</v>
      </c>
    </row>
    <row r="27" spans="1:16">
      <c r="A27" s="1" t="s">
        <v>36</v>
      </c>
      <c r="B27" s="3">
        <f t="shared" ref="B27:M27" si="5">SUM(B28:B29)</f>
        <v>86279</v>
      </c>
      <c r="C27" s="3">
        <f t="shared" si="5"/>
        <v>86954</v>
      </c>
      <c r="D27" s="3">
        <f t="shared" si="5"/>
        <v>87659</v>
      </c>
      <c r="E27" s="3">
        <f t="shared" si="5"/>
        <v>88558</v>
      </c>
      <c r="F27" s="3">
        <f t="shared" si="5"/>
        <v>88980</v>
      </c>
      <c r="G27" s="3">
        <f t="shared" si="5"/>
        <v>89655</v>
      </c>
      <c r="H27" s="3">
        <f t="shared" si="5"/>
        <v>90608</v>
      </c>
      <c r="I27" s="3">
        <f t="shared" si="5"/>
        <v>91357</v>
      </c>
      <c r="J27" s="3">
        <f t="shared" si="5"/>
        <v>91551</v>
      </c>
      <c r="K27" s="3">
        <f t="shared" si="5"/>
        <v>92750</v>
      </c>
      <c r="L27" s="3">
        <f t="shared" si="5"/>
        <v>93969</v>
      </c>
      <c r="M27" s="4">
        <f t="shared" si="5"/>
        <v>95077</v>
      </c>
    </row>
    <row r="28" spans="1:16">
      <c r="A28" s="12" t="s">
        <v>35</v>
      </c>
      <c r="B28" s="19">
        <f>23933+238</f>
        <v>24171</v>
      </c>
      <c r="C28" s="19">
        <f>24082+261</f>
        <v>24343</v>
      </c>
      <c r="D28" s="19">
        <f>24158+308</f>
        <v>24466</v>
      </c>
      <c r="E28" s="19">
        <f>24246+338</f>
        <v>24584</v>
      </c>
      <c r="F28" s="19">
        <f>24333+412</f>
        <v>24745</v>
      </c>
      <c r="G28" s="19">
        <f>24363+470</f>
        <v>24833</v>
      </c>
      <c r="H28" s="19">
        <f>24591+589</f>
        <v>25180</v>
      </c>
      <c r="I28" s="19">
        <f>24698+643</f>
        <v>25341</v>
      </c>
      <c r="J28" s="19">
        <f>24769+684</f>
        <v>25453</v>
      </c>
      <c r="K28" s="19">
        <f>24993+1+773</f>
        <v>25767</v>
      </c>
      <c r="L28" s="19">
        <f>25692+3+817+9</f>
        <v>26521</v>
      </c>
      <c r="M28" s="22">
        <f>26151+5+878+15</f>
        <v>27049</v>
      </c>
    </row>
    <row r="29" spans="1:16">
      <c r="A29" s="12" t="s">
        <v>38</v>
      </c>
      <c r="B29" s="19">
        <f>48470+1918+5318+6402</f>
        <v>62108</v>
      </c>
      <c r="C29" s="19">
        <f>48681+1876+5639+6415</f>
        <v>62611</v>
      </c>
      <c r="D29" s="19">
        <f>48825+1811+5931+6626</f>
        <v>63193</v>
      </c>
      <c r="E29" s="19">
        <f>49044+1782+6439+6709</f>
        <v>63974</v>
      </c>
      <c r="F29" s="19">
        <f>49207+1719+6557+6752</f>
        <v>64235</v>
      </c>
      <c r="G29" s="19">
        <f>49514+1665+6838+6805</f>
        <v>64822</v>
      </c>
      <c r="H29" s="19">
        <f>49922+1624+7130+6752</f>
        <v>65428</v>
      </c>
      <c r="I29" s="19">
        <f>50184+1572+7441+6819</f>
        <v>66016</v>
      </c>
      <c r="J29" s="19">
        <f>50241+1516+7591+6750</f>
        <v>66098</v>
      </c>
      <c r="K29" s="19">
        <f>50681+1491+7934+6877</f>
        <v>66983</v>
      </c>
      <c r="L29" s="19">
        <f>50903+1447+8137+6961</f>
        <v>67448</v>
      </c>
      <c r="M29" s="22">
        <f>51240+1401+8485+6902</f>
        <v>68028</v>
      </c>
    </row>
    <row r="30" spans="1:16">
      <c r="A30" s="1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2"/>
    </row>
    <row r="31" spans="1:16">
      <c r="A31" s="1" t="s">
        <v>37</v>
      </c>
      <c r="B31" s="3">
        <f t="shared" ref="B31:M31" si="6">SUM(B32:B33)</f>
        <v>244674</v>
      </c>
      <c r="C31" s="3">
        <f t="shared" si="6"/>
        <v>246696</v>
      </c>
      <c r="D31" s="3">
        <f t="shared" si="6"/>
        <v>249578</v>
      </c>
      <c r="E31" s="3">
        <f t="shared" si="6"/>
        <v>251427</v>
      </c>
      <c r="F31" s="3">
        <f t="shared" si="6"/>
        <v>254385</v>
      </c>
      <c r="G31" s="3">
        <f t="shared" si="6"/>
        <v>258783</v>
      </c>
      <c r="H31" s="3">
        <f t="shared" si="6"/>
        <v>262379</v>
      </c>
      <c r="I31" s="3">
        <f t="shared" si="6"/>
        <v>265553</v>
      </c>
      <c r="J31" s="3">
        <f t="shared" si="6"/>
        <v>267458</v>
      </c>
      <c r="K31" s="3">
        <f t="shared" si="6"/>
        <v>271032</v>
      </c>
      <c r="L31" s="3">
        <f t="shared" si="6"/>
        <v>273619</v>
      </c>
      <c r="M31" s="4">
        <f t="shared" si="6"/>
        <v>276297</v>
      </c>
    </row>
    <row r="32" spans="1:16">
      <c r="A32" s="12" t="s">
        <v>35</v>
      </c>
      <c r="B32" s="19">
        <f>66793+781</f>
        <v>67574</v>
      </c>
      <c r="C32" s="19">
        <f>67389+851</f>
        <v>68240</v>
      </c>
      <c r="D32" s="19">
        <f>68089+1063</f>
        <v>69152</v>
      </c>
      <c r="E32" s="19">
        <f>68461+1189</f>
        <v>69650</v>
      </c>
      <c r="F32" s="19">
        <f>68914+1418</f>
        <v>70332</v>
      </c>
      <c r="G32" s="19">
        <f>69495+1758</f>
        <v>71253</v>
      </c>
      <c r="H32" s="19">
        <f>70354+2132</f>
        <v>72486</v>
      </c>
      <c r="I32" s="19">
        <f>71059+2597</f>
        <v>73656</v>
      </c>
      <c r="J32" s="19">
        <f>71595+2771</f>
        <v>74366</v>
      </c>
      <c r="K32" s="19">
        <f>72347+2+3193</f>
        <v>75542</v>
      </c>
      <c r="L32" s="19">
        <f>74014+5+3426</f>
        <v>77445</v>
      </c>
      <c r="M32" s="22">
        <f>75437+7+3771</f>
        <v>79215</v>
      </c>
    </row>
    <row r="33" spans="1:14">
      <c r="A33" s="12" t="s">
        <v>38</v>
      </c>
      <c r="B33" s="19">
        <f>148975+4643+11901+11581</f>
        <v>177100</v>
      </c>
      <c r="C33" s="19">
        <f>149520+4463+12937+11536</f>
        <v>178456</v>
      </c>
      <c r="D33" s="19">
        <f>150198+4257+13785+12186</f>
        <v>180426</v>
      </c>
      <c r="E33" s="19">
        <f>150572+4128+14991+12086</f>
        <v>181777</v>
      </c>
      <c r="F33" s="19">
        <f>151213+3932+16065+12843</f>
        <v>184053</v>
      </c>
      <c r="G33" s="19">
        <f>153101+3843+17631+12955</f>
        <v>187530</v>
      </c>
      <c r="H33" s="19">
        <f>154145+3723+19060+12965</f>
        <v>189893</v>
      </c>
      <c r="I33" s="19">
        <f>154724+3578+20568+13027</f>
        <v>191897</v>
      </c>
      <c r="J33" s="19">
        <f>155209+3465+21382+13036</f>
        <v>193092</v>
      </c>
      <c r="K33" s="19">
        <f>156225+3328+22724+13213</f>
        <v>195490</v>
      </c>
      <c r="L33" s="19">
        <f>156745+3189+23190+13050</f>
        <v>196174</v>
      </c>
      <c r="M33" s="22">
        <f>157572+3008+23973+12529</f>
        <v>197082</v>
      </c>
    </row>
    <row r="34" spans="1:14">
      <c r="A34" s="1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2"/>
    </row>
    <row r="35" spans="1:14">
      <c r="A35" s="1" t="s">
        <v>43</v>
      </c>
      <c r="B35" s="3">
        <f>SUM(B36:B37)</f>
        <v>36684</v>
      </c>
      <c r="C35" s="3">
        <f>SUM(C36:C37)</f>
        <v>37181</v>
      </c>
      <c r="D35" s="3">
        <f t="shared" ref="D35:M35" si="7">SUM(D36:D37)</f>
        <v>37632</v>
      </c>
      <c r="E35" s="3">
        <f t="shared" si="7"/>
        <v>37995</v>
      </c>
      <c r="F35" s="3">
        <f t="shared" si="7"/>
        <v>38610</v>
      </c>
      <c r="G35" s="3">
        <f t="shared" si="7"/>
        <v>40770</v>
      </c>
      <c r="H35" s="3">
        <f t="shared" si="7"/>
        <v>42059</v>
      </c>
      <c r="I35" s="3">
        <f t="shared" si="7"/>
        <v>42992</v>
      </c>
      <c r="J35" s="3">
        <f t="shared" si="7"/>
        <v>44237</v>
      </c>
      <c r="K35" s="3">
        <f t="shared" si="7"/>
        <v>45604</v>
      </c>
      <c r="L35" s="3">
        <f t="shared" si="7"/>
        <v>47753</v>
      </c>
      <c r="M35" s="4">
        <f t="shared" si="7"/>
        <v>49752</v>
      </c>
    </row>
    <row r="36" spans="1:14">
      <c r="A36" s="12" t="s">
        <v>35</v>
      </c>
      <c r="B36" s="19">
        <v>9280</v>
      </c>
      <c r="C36" s="19">
        <v>9563</v>
      </c>
      <c r="D36" s="19">
        <v>9753</v>
      </c>
      <c r="E36" s="19">
        <v>9974</v>
      </c>
      <c r="F36" s="19">
        <v>10303</v>
      </c>
      <c r="G36" s="19">
        <v>10701</v>
      </c>
      <c r="H36" s="19">
        <v>11226</v>
      </c>
      <c r="I36" s="19">
        <v>11622</v>
      </c>
      <c r="J36" s="19">
        <v>12149</v>
      </c>
      <c r="K36" s="19">
        <v>12669</v>
      </c>
      <c r="L36" s="19">
        <v>14284</v>
      </c>
      <c r="M36" s="22">
        <v>15427</v>
      </c>
    </row>
    <row r="37" spans="1:14">
      <c r="A37" s="12" t="s">
        <v>38</v>
      </c>
      <c r="B37" s="55">
        <v>27404</v>
      </c>
      <c r="C37" s="55">
        <v>27618</v>
      </c>
      <c r="D37" s="55">
        <v>27879</v>
      </c>
      <c r="E37" s="55">
        <v>28021</v>
      </c>
      <c r="F37" s="55">
        <v>28307</v>
      </c>
      <c r="G37" s="55">
        <v>30069</v>
      </c>
      <c r="H37" s="55">
        <v>30833</v>
      </c>
      <c r="I37" s="55">
        <v>31370</v>
      </c>
      <c r="J37" s="55">
        <v>32088</v>
      </c>
      <c r="K37" s="55">
        <v>32935</v>
      </c>
      <c r="L37" s="55">
        <v>33469</v>
      </c>
      <c r="M37" s="56">
        <v>34325</v>
      </c>
    </row>
    <row r="38" spans="1:14">
      <c r="A38" s="4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4">
      <c r="A39" s="31"/>
    </row>
    <row r="40" spans="1:14" s="2" customFormat="1" ht="21">
      <c r="A40" s="26" t="s">
        <v>33</v>
      </c>
      <c r="B40" s="27">
        <v>43864</v>
      </c>
      <c r="C40" s="27">
        <v>43894</v>
      </c>
      <c r="D40" s="27">
        <v>43923</v>
      </c>
      <c r="E40" s="27">
        <v>43952</v>
      </c>
      <c r="F40" s="27">
        <v>43983</v>
      </c>
      <c r="G40" s="27">
        <v>44015</v>
      </c>
      <c r="H40" s="27">
        <v>44048</v>
      </c>
      <c r="I40" s="27">
        <v>44076</v>
      </c>
      <c r="J40" s="27">
        <v>44105</v>
      </c>
      <c r="K40" s="27">
        <v>44137</v>
      </c>
      <c r="L40" s="27">
        <v>44166</v>
      </c>
      <c r="M40" s="28">
        <v>44200</v>
      </c>
      <c r="N40" s="41"/>
    </row>
    <row r="41" spans="1:14" s="34" customFormat="1">
      <c r="A41" s="42" t="s">
        <v>35</v>
      </c>
      <c r="B41" s="34">
        <v>5510446</v>
      </c>
      <c r="C41" s="34">
        <v>5620193</v>
      </c>
      <c r="D41" s="34">
        <v>5735758</v>
      </c>
      <c r="E41" s="34">
        <v>5857388</v>
      </c>
      <c r="F41" s="34">
        <v>5986720</v>
      </c>
      <c r="G41" s="34">
        <v>6115877</v>
      </c>
      <c r="H41" s="34">
        <v>6253584</v>
      </c>
      <c r="I41" s="34">
        <v>6364543</v>
      </c>
      <c r="J41" s="34">
        <v>6470745</v>
      </c>
      <c r="K41" s="34">
        <v>6595056</v>
      </c>
      <c r="L41" s="34">
        <v>6706910</v>
      </c>
      <c r="M41" s="34">
        <v>6838015</v>
      </c>
      <c r="N41" s="42"/>
    </row>
    <row r="42" spans="1:14" s="34" customFormat="1">
      <c r="A42" s="32" t="s">
        <v>38</v>
      </c>
      <c r="B42" s="33">
        <v>9327627</v>
      </c>
      <c r="C42" s="33">
        <v>9447747</v>
      </c>
      <c r="D42" s="33">
        <v>9626358</v>
      </c>
      <c r="E42" s="33">
        <v>9850988</v>
      </c>
      <c r="F42" s="33">
        <v>10056890</v>
      </c>
      <c r="G42" s="33">
        <v>10249658</v>
      </c>
      <c r="H42" s="33">
        <v>10452427</v>
      </c>
      <c r="I42" s="33">
        <v>10607456</v>
      </c>
      <c r="J42" s="33">
        <v>10755098</v>
      </c>
      <c r="K42" s="33">
        <v>10929293</v>
      </c>
      <c r="L42" s="33">
        <v>11081522</v>
      </c>
      <c r="M42" s="33">
        <v>11269554</v>
      </c>
      <c r="N42" s="42"/>
    </row>
    <row r="43" spans="1:14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4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4" ht="21">
      <c r="A45" s="135" t="s">
        <v>79</v>
      </c>
      <c r="B45" s="138"/>
    </row>
    <row r="46" spans="1:14">
      <c r="A46" s="12" t="s">
        <v>0</v>
      </c>
      <c r="B46" s="29">
        <f>96197/31</f>
        <v>3103.1290322580644</v>
      </c>
    </row>
    <row r="47" spans="1:14">
      <c r="A47" s="12" t="s">
        <v>1</v>
      </c>
      <c r="B47" s="29">
        <f>94372/29</f>
        <v>3254.2068965517242</v>
      </c>
    </row>
    <row r="48" spans="1:14">
      <c r="A48" s="12" t="s">
        <v>2</v>
      </c>
      <c r="B48" s="29">
        <f>101341/31</f>
        <v>3269.0645161290322</v>
      </c>
    </row>
    <row r="49" spans="1:13">
      <c r="A49" s="12" t="s">
        <v>3</v>
      </c>
      <c r="B49" s="29">
        <f>108448/30</f>
        <v>3614.9333333333334</v>
      </c>
    </row>
    <row r="50" spans="1:13">
      <c r="A50" s="12" t="s">
        <v>4</v>
      </c>
      <c r="B50" s="29">
        <f>105376/31</f>
        <v>3399.2258064516127</v>
      </c>
    </row>
    <row r="51" spans="1:13">
      <c r="A51" s="12" t="s">
        <v>5</v>
      </c>
      <c r="B51" s="29">
        <f>105109/30</f>
        <v>3503.6333333333332</v>
      </c>
    </row>
    <row r="52" spans="1:13">
      <c r="A52" s="12" t="s">
        <v>6</v>
      </c>
      <c r="B52" s="29">
        <f>105105/31</f>
        <v>3390.483870967742</v>
      </c>
    </row>
    <row r="53" spans="1:13">
      <c r="A53" s="12" t="s">
        <v>7</v>
      </c>
      <c r="B53" s="29">
        <f>105869/31</f>
        <v>3415.1290322580644</v>
      </c>
    </row>
    <row r="54" spans="1:13">
      <c r="A54" s="12" t="s">
        <v>8</v>
      </c>
      <c r="B54" s="29">
        <f>102772/30</f>
        <v>3425.7333333333331</v>
      </c>
    </row>
    <row r="55" spans="1:13">
      <c r="A55" s="12" t="s">
        <v>9</v>
      </c>
      <c r="B55" s="29">
        <f>102347/31</f>
        <v>3301.516129032258</v>
      </c>
    </row>
    <row r="56" spans="1:13">
      <c r="A56" s="12" t="s">
        <v>10</v>
      </c>
      <c r="B56" s="29">
        <f>102454/30</f>
        <v>3415.1333333333332</v>
      </c>
    </row>
    <row r="57" spans="1:13">
      <c r="A57" s="12" t="s">
        <v>11</v>
      </c>
      <c r="B57" s="29">
        <f>102276/31</f>
        <v>3299.2258064516127</v>
      </c>
    </row>
    <row r="58" spans="1:13">
      <c r="A58" s="30"/>
      <c r="B58" s="30"/>
    </row>
    <row r="61" spans="1:13" s="2" customFormat="1" ht="21">
      <c r="A61" s="26" t="s">
        <v>31</v>
      </c>
      <c r="B61" s="27">
        <v>43864</v>
      </c>
      <c r="C61" s="27">
        <v>43893</v>
      </c>
      <c r="D61" s="27">
        <v>43923</v>
      </c>
      <c r="E61" s="27">
        <v>43952</v>
      </c>
      <c r="F61" s="27">
        <v>43983</v>
      </c>
      <c r="G61" s="27">
        <v>44015</v>
      </c>
      <c r="H61" s="27">
        <v>44048</v>
      </c>
      <c r="I61" s="27">
        <v>44076</v>
      </c>
      <c r="J61" s="27">
        <v>44105</v>
      </c>
      <c r="K61" s="27">
        <v>44137</v>
      </c>
      <c r="L61" s="27">
        <v>44166</v>
      </c>
      <c r="M61" s="28">
        <v>44200</v>
      </c>
    </row>
    <row r="62" spans="1:13">
      <c r="A62" s="24" t="s">
        <v>21</v>
      </c>
      <c r="B62" s="34">
        <v>121570</v>
      </c>
      <c r="C62" s="34">
        <v>124211</v>
      </c>
      <c r="D62" s="34">
        <v>140349</v>
      </c>
      <c r="E62" s="34">
        <v>142967</v>
      </c>
      <c r="F62" s="34">
        <v>141246</v>
      </c>
      <c r="G62" s="34">
        <v>135184</v>
      </c>
      <c r="H62" s="34">
        <v>135756</v>
      </c>
      <c r="I62" s="34">
        <v>136779</v>
      </c>
      <c r="J62" s="34">
        <v>139449</v>
      </c>
      <c r="K62" s="34">
        <v>133239</v>
      </c>
      <c r="L62" s="34">
        <v>133857</v>
      </c>
      <c r="M62" s="13">
        <v>134165</v>
      </c>
    </row>
    <row r="63" spans="1:13">
      <c r="A63" s="24" t="s">
        <v>22</v>
      </c>
      <c r="B63" s="34">
        <v>172785</v>
      </c>
      <c r="C63" s="34">
        <v>173359</v>
      </c>
      <c r="D63" s="34">
        <v>225055</v>
      </c>
      <c r="E63" s="34">
        <v>264740</v>
      </c>
      <c r="F63" s="34">
        <v>269250</v>
      </c>
      <c r="G63" s="34">
        <v>261857</v>
      </c>
      <c r="H63" s="34">
        <v>256742</v>
      </c>
      <c r="I63" s="34">
        <v>249374</v>
      </c>
      <c r="J63" s="34">
        <v>240335</v>
      </c>
      <c r="K63" s="34">
        <v>243453</v>
      </c>
      <c r="L63" s="34">
        <v>229341</v>
      </c>
      <c r="M63" s="13">
        <v>234374</v>
      </c>
    </row>
    <row r="64" spans="1:13">
      <c r="A64" s="25" t="s">
        <v>23</v>
      </c>
      <c r="B64" s="33">
        <v>4</v>
      </c>
      <c r="C64" s="33">
        <v>2</v>
      </c>
      <c r="D64" s="33">
        <v>35</v>
      </c>
      <c r="E64" s="33">
        <v>40</v>
      </c>
      <c r="F64" s="33">
        <v>23</v>
      </c>
      <c r="G64" s="33">
        <v>11</v>
      </c>
      <c r="H64" s="14">
        <v>6</v>
      </c>
      <c r="I64" s="14">
        <v>5</v>
      </c>
      <c r="J64" s="14">
        <v>4</v>
      </c>
      <c r="K64" s="14">
        <v>8</v>
      </c>
      <c r="L64" s="14">
        <v>5</v>
      </c>
      <c r="M64" s="15">
        <v>2</v>
      </c>
    </row>
    <row r="65" spans="1:3">
      <c r="A65" s="31"/>
    </row>
    <row r="67" spans="1:3" ht="21">
      <c r="A67" s="26" t="s">
        <v>30</v>
      </c>
      <c r="B67" s="54" t="s">
        <v>55</v>
      </c>
      <c r="C67" s="84"/>
    </row>
    <row r="68" spans="1:3">
      <c r="A68" s="24">
        <v>43864</v>
      </c>
      <c r="B68" s="13">
        <v>40.229999999999997</v>
      </c>
      <c r="C68" s="85"/>
    </row>
    <row r="69" spans="1:3">
      <c r="A69" s="24">
        <v>43893</v>
      </c>
      <c r="B69" s="13">
        <v>41.37</v>
      </c>
      <c r="C69" s="85"/>
    </row>
    <row r="70" spans="1:3">
      <c r="A70" s="24">
        <v>43923</v>
      </c>
      <c r="B70" s="13">
        <v>37.44</v>
      </c>
      <c r="C70" s="85"/>
    </row>
    <row r="71" spans="1:3">
      <c r="A71" s="24">
        <v>43952</v>
      </c>
      <c r="B71" s="13">
        <v>33.1</v>
      </c>
      <c r="C71" s="85"/>
    </row>
    <row r="72" spans="1:3">
      <c r="A72" s="24">
        <v>43983</v>
      </c>
      <c r="B72" s="13">
        <v>34.83</v>
      </c>
      <c r="C72" s="85"/>
    </row>
    <row r="73" spans="1:3">
      <c r="A73" s="24">
        <v>44015</v>
      </c>
      <c r="B73" s="13">
        <v>35.9</v>
      </c>
      <c r="C73" s="85"/>
    </row>
    <row r="74" spans="1:3">
      <c r="A74" s="24">
        <v>44048</v>
      </c>
      <c r="B74" s="13">
        <v>36.24</v>
      </c>
      <c r="C74" s="85"/>
    </row>
    <row r="75" spans="1:3">
      <c r="A75" s="24">
        <v>44076</v>
      </c>
      <c r="B75" s="13">
        <v>37.61</v>
      </c>
      <c r="C75" s="85"/>
    </row>
    <row r="76" spans="1:3">
      <c r="A76" s="24">
        <v>44105</v>
      </c>
      <c r="B76" s="13">
        <v>37.880000000000003</v>
      </c>
      <c r="C76" s="85"/>
    </row>
    <row r="77" spans="1:3">
      <c r="A77" s="24">
        <v>44137</v>
      </c>
      <c r="B77" s="13">
        <v>38.21</v>
      </c>
      <c r="C77" s="85"/>
    </row>
    <row r="78" spans="1:3">
      <c r="A78" s="24">
        <v>44166</v>
      </c>
      <c r="B78" s="13">
        <v>36.950000000000003</v>
      </c>
      <c r="C78" s="85"/>
    </row>
    <row r="79" spans="1:3">
      <c r="A79" s="25">
        <v>43834</v>
      </c>
      <c r="B79" s="15">
        <v>35.19</v>
      </c>
      <c r="C79" s="85"/>
    </row>
    <row r="83" spans="1:13" s="2" customFormat="1" ht="21">
      <c r="A83" s="26" t="s">
        <v>63</v>
      </c>
      <c r="B83" s="27" t="s">
        <v>0</v>
      </c>
      <c r="C83" s="27" t="s">
        <v>1</v>
      </c>
      <c r="D83" s="27" t="s">
        <v>2</v>
      </c>
      <c r="E83" s="27" t="s">
        <v>3</v>
      </c>
      <c r="F83" s="27" t="s">
        <v>64</v>
      </c>
      <c r="G83" s="27" t="s">
        <v>5</v>
      </c>
      <c r="H83" s="27" t="s">
        <v>6</v>
      </c>
      <c r="I83" s="27" t="s">
        <v>7</v>
      </c>
      <c r="J83" s="27" t="s">
        <v>8</v>
      </c>
      <c r="K83" s="27" t="s">
        <v>9</v>
      </c>
      <c r="L83" s="27" t="s">
        <v>10</v>
      </c>
      <c r="M83" s="28" t="s">
        <v>11</v>
      </c>
    </row>
    <row r="84" spans="1:13">
      <c r="A84" s="24" t="s">
        <v>21</v>
      </c>
      <c r="B84">
        <v>20940</v>
      </c>
      <c r="C84">
        <v>21190</v>
      </c>
      <c r="D84">
        <v>21445</v>
      </c>
      <c r="E84">
        <v>21651</v>
      </c>
      <c r="F84">
        <v>21637</v>
      </c>
      <c r="G84">
        <v>21386</v>
      </c>
      <c r="H84">
        <v>21654</v>
      </c>
      <c r="I84">
        <v>21766</v>
      </c>
      <c r="J84">
        <v>24331</v>
      </c>
      <c r="K84">
        <v>25889</v>
      </c>
      <c r="L84">
        <v>26535</v>
      </c>
      <c r="M84" s="13">
        <v>26541</v>
      </c>
    </row>
    <row r="85" spans="1:13">
      <c r="A85" s="25" t="s">
        <v>22</v>
      </c>
      <c r="B85" s="14">
        <v>48907</v>
      </c>
      <c r="C85" s="14">
        <v>48293</v>
      </c>
      <c r="D85" s="14">
        <v>52132</v>
      </c>
      <c r="E85" s="14">
        <v>55577</v>
      </c>
      <c r="F85" s="14">
        <v>54684</v>
      </c>
      <c r="G85" s="14">
        <v>53221</v>
      </c>
      <c r="H85" s="14">
        <v>53504</v>
      </c>
      <c r="I85" s="14">
        <v>53236</v>
      </c>
      <c r="J85" s="14">
        <v>52468</v>
      </c>
      <c r="K85" s="14">
        <v>53276</v>
      </c>
      <c r="L85" s="14">
        <v>52917</v>
      </c>
      <c r="M85" s="15">
        <v>53014</v>
      </c>
    </row>
    <row r="86" spans="1:13">
      <c r="A86" s="31"/>
    </row>
  </sheetData>
  <mergeCells count="3">
    <mergeCell ref="A1:M1"/>
    <mergeCell ref="A24:N25"/>
    <mergeCell ref="A45:B4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="80" zoomScaleNormal="80" workbookViewId="0">
      <selection activeCell="P9" sqref="P9"/>
    </sheetView>
  </sheetViews>
  <sheetFormatPr defaultRowHeight="15"/>
  <cols>
    <col min="1" max="1" width="30.28515625" bestFit="1" customWidth="1"/>
    <col min="2" max="3" width="11.28515625" bestFit="1" customWidth="1"/>
    <col min="4" max="4" width="30.28515625" bestFit="1" customWidth="1"/>
    <col min="5" max="16" width="9.5703125" customWidth="1"/>
  </cols>
  <sheetData>
    <row r="1" spans="1:17" s="2" customFormat="1">
      <c r="A1" s="47"/>
      <c r="B1" s="47"/>
      <c r="C1" s="47"/>
      <c r="D1" s="47"/>
      <c r="E1" s="142" t="s">
        <v>80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7">
      <c r="A2" s="48" t="s">
        <v>47</v>
      </c>
      <c r="B2" s="48" t="s">
        <v>45</v>
      </c>
      <c r="C2" s="48" t="s">
        <v>46</v>
      </c>
      <c r="D2" s="48" t="s">
        <v>44</v>
      </c>
      <c r="E2" s="49" t="s">
        <v>0</v>
      </c>
      <c r="F2" s="50" t="s">
        <v>1</v>
      </c>
      <c r="G2" s="50" t="s">
        <v>2</v>
      </c>
      <c r="H2" s="50" t="s">
        <v>3</v>
      </c>
      <c r="I2" s="50" t="s">
        <v>4</v>
      </c>
      <c r="J2" s="50" t="s">
        <v>5</v>
      </c>
      <c r="K2" s="50" t="s">
        <v>6</v>
      </c>
      <c r="L2" s="50" t="s">
        <v>7</v>
      </c>
      <c r="M2" s="50" t="s">
        <v>8</v>
      </c>
      <c r="N2" s="50" t="s">
        <v>9</v>
      </c>
      <c r="O2" s="50" t="s">
        <v>10</v>
      </c>
      <c r="P2" s="51" t="s">
        <v>11</v>
      </c>
      <c r="Q2" s="86" t="s">
        <v>83</v>
      </c>
    </row>
    <row r="3" spans="1:17">
      <c r="A3" t="s">
        <v>51</v>
      </c>
      <c r="B3" s="31">
        <v>43440</v>
      </c>
      <c r="C3" s="31">
        <v>43805</v>
      </c>
      <c r="D3" t="s">
        <v>48</v>
      </c>
      <c r="E3" s="140">
        <v>12681</v>
      </c>
      <c r="F3" s="140">
        <v>9444</v>
      </c>
      <c r="G3" s="140">
        <v>9332</v>
      </c>
      <c r="H3" s="140">
        <v>7736</v>
      </c>
      <c r="I3" s="140">
        <v>7357</v>
      </c>
      <c r="J3" s="140">
        <v>12646</v>
      </c>
      <c r="K3" s="140">
        <v>11351</v>
      </c>
      <c r="L3" s="140">
        <v>10701</v>
      </c>
      <c r="M3" s="140">
        <v>21536</v>
      </c>
      <c r="N3" s="140">
        <v>22291</v>
      </c>
      <c r="O3" s="140">
        <v>19804</v>
      </c>
      <c r="P3" s="140">
        <v>19065</v>
      </c>
      <c r="Q3" s="139">
        <f>SUM(E3:P5)</f>
        <v>163944</v>
      </c>
    </row>
    <row r="4" spans="1:17">
      <c r="A4" t="s">
        <v>52</v>
      </c>
      <c r="B4" s="31">
        <v>43454</v>
      </c>
      <c r="C4" s="31">
        <v>43819</v>
      </c>
      <c r="D4" t="s">
        <v>48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39"/>
    </row>
    <row r="5" spans="1:17">
      <c r="A5" t="s">
        <v>54</v>
      </c>
      <c r="B5" s="31">
        <v>43827</v>
      </c>
      <c r="C5" s="31">
        <v>43827</v>
      </c>
      <c r="D5" t="s">
        <v>50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39"/>
    </row>
    <row r="6" spans="1:17">
      <c r="A6" t="s">
        <v>53</v>
      </c>
      <c r="B6" s="31">
        <v>43454</v>
      </c>
      <c r="C6" s="31">
        <v>43819</v>
      </c>
      <c r="D6" t="s">
        <v>49</v>
      </c>
      <c r="E6" s="57">
        <v>26584</v>
      </c>
      <c r="F6" s="57">
        <v>19083</v>
      </c>
      <c r="G6" s="57">
        <v>16672</v>
      </c>
      <c r="H6" s="57">
        <v>13907</v>
      </c>
      <c r="I6" s="57">
        <v>12907</v>
      </c>
      <c r="J6" s="57">
        <v>22077</v>
      </c>
      <c r="K6" s="57">
        <v>19466</v>
      </c>
      <c r="L6" s="57">
        <v>16803</v>
      </c>
      <c r="M6" s="57">
        <v>13407</v>
      </c>
      <c r="N6" s="57">
        <v>13042</v>
      </c>
      <c r="O6" s="57">
        <v>10227</v>
      </c>
      <c r="P6" s="57">
        <v>7328</v>
      </c>
      <c r="Q6" s="19">
        <f>SUM(E6:P6)</f>
        <v>191503</v>
      </c>
    </row>
    <row r="7" spans="1:17">
      <c r="D7" t="s">
        <v>81</v>
      </c>
      <c r="E7" s="87">
        <v>8429</v>
      </c>
      <c r="F7" s="87">
        <v>7018</v>
      </c>
      <c r="G7">
        <v>6055</v>
      </c>
      <c r="H7">
        <v>5844</v>
      </c>
      <c r="I7">
        <v>3157</v>
      </c>
      <c r="J7">
        <v>2795</v>
      </c>
      <c r="K7">
        <v>2030</v>
      </c>
      <c r="L7">
        <v>1745</v>
      </c>
      <c r="M7">
        <v>2024</v>
      </c>
      <c r="N7">
        <v>1739</v>
      </c>
      <c r="O7">
        <v>4310</v>
      </c>
      <c r="P7">
        <v>7085</v>
      </c>
      <c r="Q7">
        <f>SUM(E7:P7)</f>
        <v>52231</v>
      </c>
    </row>
    <row r="8" spans="1:17">
      <c r="D8" t="s">
        <v>84</v>
      </c>
      <c r="E8" s="19">
        <f t="shared" ref="E8:J8" si="0">SUM(E3:E7)</f>
        <v>47694</v>
      </c>
      <c r="F8" s="19">
        <f t="shared" si="0"/>
        <v>35545</v>
      </c>
      <c r="G8" s="19">
        <f t="shared" si="0"/>
        <v>32059</v>
      </c>
      <c r="H8" s="19">
        <f t="shared" si="0"/>
        <v>27487</v>
      </c>
      <c r="I8" s="19">
        <f t="shared" si="0"/>
        <v>23421</v>
      </c>
      <c r="J8" s="19">
        <f t="shared" si="0"/>
        <v>37518</v>
      </c>
      <c r="K8" s="19">
        <f t="shared" ref="K8:Q8" si="1">SUM(K3:K7)</f>
        <v>32847</v>
      </c>
      <c r="L8" s="19">
        <f t="shared" si="1"/>
        <v>29249</v>
      </c>
      <c r="M8" s="19">
        <f t="shared" si="1"/>
        <v>36967</v>
      </c>
      <c r="N8" s="19">
        <f t="shared" si="1"/>
        <v>37072</v>
      </c>
      <c r="O8" s="19">
        <f t="shared" si="1"/>
        <v>34341</v>
      </c>
      <c r="P8" s="19">
        <f t="shared" si="1"/>
        <v>33478</v>
      </c>
      <c r="Q8" s="19">
        <f t="shared" si="1"/>
        <v>407678</v>
      </c>
    </row>
  </sheetData>
  <mergeCells count="14">
    <mergeCell ref="E1:P1"/>
    <mergeCell ref="E3:E5"/>
    <mergeCell ref="F3:F5"/>
    <mergeCell ref="G3:G5"/>
    <mergeCell ref="H3:H5"/>
    <mergeCell ref="I3:I5"/>
    <mergeCell ref="J3:J5"/>
    <mergeCell ref="K3:K5"/>
    <mergeCell ref="L3:L5"/>
    <mergeCell ref="Q3:Q5"/>
    <mergeCell ref="M3:M5"/>
    <mergeCell ref="N3:N5"/>
    <mergeCell ref="O3:O5"/>
    <mergeCell ref="P3:P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Infographic</vt:lpstr>
      <vt:lpstr>OverDrive Statistics</vt:lpstr>
      <vt:lpstr>Simultaneous Use Circ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2021-02-11T14:21:45Z</dcterms:modified>
</cp:coreProperties>
</file>